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70" windowWidth="19320" windowHeight="9920" tabRatio="771" activeTab="1"/>
  </bookViews>
  <sheets>
    <sheet name="INPUT" sheetId="1" r:id="rId1"/>
    <sheet name="OUTPUT" sheetId="2" r:id="rId2"/>
    <sheet name="STRATEGY MAXIMUMS" sheetId="3" r:id="rId3"/>
    <sheet name="Maximum Calcs" sheetId="4" r:id="rId4"/>
    <sheet name="Land Use" sheetId="5" r:id="rId5"/>
    <sheet name="Neighborhood" sheetId="6" r:id="rId6"/>
    <sheet name="Parking" sheetId="7" r:id="rId7"/>
    <sheet name="Transit" sheetId="8" r:id="rId8"/>
    <sheet name="CTR" sheetId="9" r:id="rId9"/>
    <sheet name="Assumptions" sheetId="10" r:id="rId10"/>
  </sheets>
  <definedNames>
    <definedName name="_xlnm.Print_Area" localSheetId="2">'STRATEGY MAXIMUMS'!$B$2:$Q$34</definedName>
  </definedNames>
  <calcPr fullCalcOnLoad="1"/>
</workbook>
</file>

<file path=xl/sharedStrings.xml><?xml version="1.0" encoding="utf-8"?>
<sst xmlns="http://schemas.openxmlformats.org/spreadsheetml/2006/main" count="1121" uniqueCount="459">
  <si>
    <t>Input Page</t>
  </si>
  <si>
    <t>Transit System Improvements</t>
  </si>
  <si>
    <t>Density</t>
  </si>
  <si>
    <t>Design</t>
  </si>
  <si>
    <t># of intersections per square mile</t>
  </si>
  <si>
    <t>Diversity</t>
  </si>
  <si>
    <t>% of each land use type in the project</t>
  </si>
  <si>
    <t>single family residential</t>
  </si>
  <si>
    <t>multifamily residential</t>
  </si>
  <si>
    <t>commercial</t>
  </si>
  <si>
    <t>industrial</t>
  </si>
  <si>
    <t>institutional</t>
  </si>
  <si>
    <t>park</t>
  </si>
  <si>
    <t>Destination Accessibility</t>
  </si>
  <si>
    <t>distance (in miles) to downtown or major job center</t>
  </si>
  <si>
    <t>Transit Accessibility</t>
  </si>
  <si>
    <t>Below Market Rate (BMR) Housing</t>
  </si>
  <si>
    <t>distance (in miles) to transit station</t>
  </si>
  <si>
    <t>Land Use / Location Strategies</t>
  </si>
  <si>
    <t>Neighborhood / Site Enhancements Strategies</t>
  </si>
  <si>
    <t>Parking Policy / Pricing Strategies</t>
  </si>
  <si>
    <t>Transit System Improvements Strategies</t>
  </si>
  <si>
    <t>Commute Trip Reduction (CTR) Programs Strategies</t>
  </si>
  <si>
    <t>Global Max Reduction (all VMT):
75% (urban), 40% (compact infill), 20% (suburban center or suburban with NEV), 15% (suburban)</t>
  </si>
  <si>
    <t>Cross-Category Max Reduction (all VMT):
70% (urban), 35% (compact infill), 15% (suburban center or suburban with NEV), 10% (suburban)</t>
  </si>
  <si>
    <t>Max Reduction (work VMT ONLY): 25%, (school VMT ONLY): 65% - Assume 15% overall VMT Max Reduction</t>
  </si>
  <si>
    <t>Land Use/ Location</t>
  </si>
  <si>
    <t>Neighborhood/ Site Enhancements</t>
  </si>
  <si>
    <t>Parking Policy/ Pricing</t>
  </si>
  <si>
    <r>
      <t xml:space="preserve">Commute Trip Reduction (CTR) Progams
</t>
    </r>
    <r>
      <rPr>
        <sz val="10"/>
        <rFont val="Arial"/>
        <family val="2"/>
      </rPr>
      <t>(assuming mixed-use development)</t>
    </r>
  </si>
  <si>
    <t>Max Reduction = 65% (urban), 30% (compact infill), 10% (suburban center), 5% (suburban)</t>
  </si>
  <si>
    <t>Max Reduction =
5% (without NEV)
15% (with NEV)</t>
  </si>
  <si>
    <t>Max Reduction = 20%</t>
  </si>
  <si>
    <t>Max Reduction = 10%</t>
  </si>
  <si>
    <t xml:space="preserve">Max Reduction = 25% work VMT 
</t>
  </si>
  <si>
    <r>
      <t xml:space="preserve">Density </t>
    </r>
    <r>
      <rPr>
        <sz val="10"/>
        <rFont val="Arial"/>
        <family val="2"/>
      </rPr>
      <t>(30%)</t>
    </r>
  </si>
  <si>
    <r>
      <t>Pedestrian Network</t>
    </r>
    <r>
      <rPr>
        <sz val="11"/>
        <color theme="1"/>
        <rFont val="Calibri"/>
        <family val="2"/>
      </rPr>
      <t xml:space="preserve"> </t>
    </r>
    <r>
      <rPr>
        <sz val="10"/>
        <rFont val="Arial"/>
        <family val="2"/>
      </rPr>
      <t>(2%)</t>
    </r>
  </si>
  <si>
    <r>
      <t xml:space="preserve">Parking Supply Limits </t>
    </r>
    <r>
      <rPr>
        <sz val="10"/>
        <rFont val="Arial"/>
        <family val="2"/>
      </rPr>
      <t>(12.5%)</t>
    </r>
  </si>
  <si>
    <r>
      <t xml:space="preserve">CTR Program
&lt;Required&gt; </t>
    </r>
    <r>
      <rPr>
        <sz val="10"/>
        <rFont val="Arial"/>
        <family val="2"/>
      </rPr>
      <t>(21% work VMT)</t>
    </r>
    <r>
      <rPr>
        <b/>
        <sz val="10"/>
        <rFont val="Arial"/>
        <family val="2"/>
      </rPr>
      <t xml:space="preserve">
&lt;Voluntary&gt; </t>
    </r>
    <r>
      <rPr>
        <sz val="10"/>
        <rFont val="Arial"/>
        <family val="2"/>
      </rPr>
      <t>(6.2% work VMT)</t>
    </r>
  </si>
  <si>
    <r>
      <t xml:space="preserve">Design </t>
    </r>
    <r>
      <rPr>
        <sz val="10"/>
        <rFont val="Arial"/>
        <family val="2"/>
      </rPr>
      <t>(21.3%)</t>
    </r>
  </si>
  <si>
    <r>
      <t xml:space="preserve">Traffic Calming </t>
    </r>
    <r>
      <rPr>
        <sz val="10"/>
        <rFont val="Arial"/>
        <family val="2"/>
      </rPr>
      <t>(1%)</t>
    </r>
  </si>
  <si>
    <r>
      <t xml:space="preserve">Unbundled Parking Costs </t>
    </r>
    <r>
      <rPr>
        <sz val="10"/>
        <rFont val="Arial"/>
        <family val="2"/>
      </rPr>
      <t>(13%)</t>
    </r>
  </si>
  <si>
    <r>
      <t xml:space="preserve">Transit Fare Subsidy </t>
    </r>
    <r>
      <rPr>
        <sz val="10"/>
        <rFont val="Arial"/>
        <family val="2"/>
      </rPr>
      <t>(20% work VMT)</t>
    </r>
  </si>
  <si>
    <r>
      <t xml:space="preserve">Location Efficiency </t>
    </r>
    <r>
      <rPr>
        <sz val="10"/>
        <rFont val="Arial"/>
        <family val="2"/>
      </rPr>
      <t>(65%)</t>
    </r>
  </si>
  <si>
    <r>
      <t xml:space="preserve">On-Street Market Pricing </t>
    </r>
    <r>
      <rPr>
        <sz val="10"/>
        <rFont val="Arial"/>
        <family val="2"/>
      </rPr>
      <t>(5.5%)</t>
    </r>
  </si>
  <si>
    <r>
      <t xml:space="preserve">Employee Parking Cash-Out </t>
    </r>
    <r>
      <rPr>
        <sz val="10"/>
        <rFont val="Arial"/>
        <family val="2"/>
      </rPr>
      <t>(7.7% work VMT)</t>
    </r>
  </si>
  <si>
    <r>
      <t xml:space="preserve">Diversity </t>
    </r>
    <r>
      <rPr>
        <sz val="10"/>
        <rFont val="Arial"/>
        <family val="2"/>
      </rPr>
      <t>(30%)</t>
    </r>
  </si>
  <si>
    <t>Residential Area Parking Permits</t>
  </si>
  <si>
    <t>Access Improvements</t>
  </si>
  <si>
    <r>
      <t xml:space="preserve">Workplace Parking Pricing </t>
    </r>
    <r>
      <rPr>
        <sz val="10"/>
        <rFont val="Arial"/>
        <family val="2"/>
      </rPr>
      <t>(19.7% work VMT)</t>
    </r>
  </si>
  <si>
    <r>
      <t xml:space="preserve">Destination Accessibility </t>
    </r>
    <r>
      <rPr>
        <sz val="10"/>
        <rFont val="Arial"/>
        <family val="2"/>
      </rPr>
      <t>(20%)</t>
    </r>
  </si>
  <si>
    <t>Bicycle Network 
&lt;Bike Lanes&gt; &lt;Bike Parking&gt; &lt;Land Dedication for Bike Trails&gt;</t>
  </si>
  <si>
    <t>Station Bike Parking</t>
  </si>
  <si>
    <r>
      <t xml:space="preserve">Alternative Work Schedules and Telecommute Program </t>
    </r>
    <r>
      <rPr>
        <sz val="10"/>
        <rFont val="Arial"/>
        <family val="2"/>
      </rPr>
      <t>(5.5% work VMT)</t>
    </r>
  </si>
  <si>
    <t>Urban Non-Motorized Zones</t>
  </si>
  <si>
    <t>Local Shuttles</t>
  </si>
  <si>
    <r>
      <t xml:space="preserve">CTR Marketing </t>
    </r>
    <r>
      <rPr>
        <sz val="10"/>
        <rFont val="Arial"/>
        <family val="2"/>
      </rPr>
      <t>(4.0% work VMT)</t>
    </r>
  </si>
  <si>
    <r>
      <t xml:space="preserve">BMR Housing </t>
    </r>
    <r>
      <rPr>
        <sz val="10"/>
        <rFont val="Arial"/>
        <family val="2"/>
      </rPr>
      <t>(1.2%)</t>
    </r>
  </si>
  <si>
    <t>Park-Ride Lots*</t>
  </si>
  <si>
    <t xml:space="preserve">Orientation Toward Non-Auto Corridor </t>
  </si>
  <si>
    <r>
      <t xml:space="preserve">Ride Share Program </t>
    </r>
    <r>
      <rPr>
        <sz val="10"/>
        <rFont val="Arial"/>
        <family val="2"/>
      </rPr>
      <t>(15% work VMT)</t>
    </r>
  </si>
  <si>
    <t>Proximity to Bike Path</t>
  </si>
  <si>
    <t>Bike Share Program</t>
  </si>
  <si>
    <t>End of Trip Facilities</t>
  </si>
  <si>
    <t>Preferential Parking Permit Program</t>
  </si>
  <si>
    <r>
      <t xml:space="preserve">School Pool </t>
    </r>
    <r>
      <rPr>
        <sz val="10"/>
        <rFont val="Arial"/>
        <family val="2"/>
      </rPr>
      <t>(15.8% school VMT)</t>
    </r>
  </si>
  <si>
    <r>
      <t xml:space="preserve">School Bus </t>
    </r>
    <r>
      <rPr>
        <sz val="10"/>
        <rFont val="Arial"/>
        <family val="2"/>
      </rPr>
      <t>(63% school VMT)</t>
    </r>
  </si>
  <si>
    <t>Global Max Reduction (all VMT):</t>
  </si>
  <si>
    <t>Cross-Category Max Reduction (all VMT):</t>
  </si>
  <si>
    <t>Category Reduction (all VMT):</t>
  </si>
  <si>
    <t>Category Reduction (work VMT):</t>
  </si>
  <si>
    <t>Pedestrian Network</t>
  </si>
  <si>
    <t>Parking Supply Limits</t>
  </si>
  <si>
    <t>Network Expansion</t>
  </si>
  <si>
    <t>Traffic Calming</t>
  </si>
  <si>
    <t>Unbundled Parking Costs</t>
  </si>
  <si>
    <t>Service Frequency/Speed</t>
  </si>
  <si>
    <t>Transit Fare Subsidy</t>
  </si>
  <si>
    <t>NEV Network</t>
  </si>
  <si>
    <t>On-Street Market Pricing</t>
  </si>
  <si>
    <t>Bus Rapid Transit</t>
  </si>
  <si>
    <t>Employee Parking Cash-Out</t>
  </si>
  <si>
    <t>BMR Housing</t>
  </si>
  <si>
    <t>Car Share Program</t>
  </si>
  <si>
    <t>Workplace Parking Pricing</t>
  </si>
  <si>
    <t>Alternative Work Schedules and Telecommute Program</t>
  </si>
  <si>
    <t>CTR Marketing</t>
  </si>
  <si>
    <t>Employer-Sponsored Vanpool/Shuttle</t>
  </si>
  <si>
    <t>Ride Share Program</t>
  </si>
  <si>
    <t>School Pool</t>
  </si>
  <si>
    <t>School Bus</t>
  </si>
  <si>
    <t>Maximum Calculations</t>
  </si>
  <si>
    <t>Global Maximum</t>
  </si>
  <si>
    <t>Category Maximums</t>
  </si>
  <si>
    <t>% Global VMT Reduction</t>
  </si>
  <si>
    <t>Category VMT Reductions</t>
  </si>
  <si>
    <t>Land Use / Location</t>
  </si>
  <si>
    <t>Neighborhood / Site Enhancements</t>
  </si>
  <si>
    <t>Parking Policy / Pricing</t>
  </si>
  <si>
    <t>% Cross-Category VMT Reduction</t>
  </si>
  <si>
    <t>% Category VMT Reduction</t>
  </si>
  <si>
    <t>Cross Category Maximum</t>
  </si>
  <si>
    <t>Mitigation Method:</t>
  </si>
  <si>
    <t>VMT Reduction</t>
  </si>
  <si>
    <t>Unbundle Parking Costs</t>
  </si>
  <si>
    <t>monthly parking cost for the project site</t>
  </si>
  <si>
    <t>where:</t>
  </si>
  <si>
    <t>elasticity of vehicle ownership w.r.t. total vehicle costs</t>
  </si>
  <si>
    <t>% Reduction in VMT = Change in vehicle cost * elasticity * adjustment from vehicle ownership to VMT</t>
  </si>
  <si>
    <t>Change in vehicle cost = monthly parking cost * 12 / annual vehicle cost</t>
  </si>
  <si>
    <t>1)</t>
  </si>
  <si>
    <t>2)</t>
  </si>
  <si>
    <t>3)</t>
  </si>
  <si>
    <t>monthly parking cost</t>
  </si>
  <si>
    <t>annual vehicle cost</t>
  </si>
  <si>
    <t>adjustment from vehicle ownership to VMT</t>
  </si>
  <si>
    <t>Assumptions Page</t>
  </si>
  <si>
    <t>= input</t>
  </si>
  <si>
    <t>= calculation</t>
  </si>
  <si>
    <t>Carshare Program</t>
  </si>
  <si>
    <t>Strategy VMT Reductions</t>
  </si>
  <si>
    <t>suburban center</t>
  </si>
  <si>
    <t>urban</t>
  </si>
  <si>
    <t>% Reduction in VMT = % increase in on-street parking prices * elasticity of VMT w.r.t. parking price</t>
  </si>
  <si>
    <t>elasticity of VMT w.r.t. parking price</t>
  </si>
  <si>
    <t>[a]</t>
  </si>
  <si>
    <t>[b]</t>
  </si>
  <si>
    <t>[c]</t>
  </si>
  <si>
    <t># of …</t>
  </si>
  <si>
    <t>housing units per acre</t>
  </si>
  <si>
    <t>jobs per job acre</t>
  </si>
  <si>
    <t>% Reduction in VMT = % increase in housing units or jobs * elasticity of VMT w.r.t. density</t>
  </si>
  <si>
    <t>number of housing units per acre for a typical ITE development</t>
  </si>
  <si>
    <t>number of jobs per job acre for a typical ITE development</t>
  </si>
  <si>
    <t>elasticity of VMT w.r.t. density</t>
  </si>
  <si>
    <t>Total</t>
  </si>
  <si>
    <t>% Reduction in VMT = % increase in land use index * elasticity of VMT w.r.t. land use index</t>
  </si>
  <si>
    <t>[maximum reduction capped at 30%]</t>
  </si>
  <si>
    <t>land use index = -a / ln(6)</t>
  </si>
  <si>
    <t>a)</t>
  </si>
  <si>
    <r>
      <t>a</t>
    </r>
    <r>
      <rPr>
        <vertAlign val="subscript"/>
        <sz val="11"/>
        <color indexed="8"/>
        <rFont val="Calibri"/>
        <family val="2"/>
      </rPr>
      <t xml:space="preserve">i </t>
    </r>
    <r>
      <rPr>
        <sz val="11"/>
        <color theme="1"/>
        <rFont val="Calibri"/>
        <family val="2"/>
      </rPr>
      <t>= building floor area of land use I / total square feet of area considered</t>
    </r>
  </si>
  <si>
    <r>
      <t>a</t>
    </r>
    <r>
      <rPr>
        <vertAlign val="subscript"/>
        <sz val="11"/>
        <rFont val="Calibri"/>
        <family val="2"/>
      </rPr>
      <t xml:space="preserve">1 </t>
    </r>
    <r>
      <rPr>
        <sz val="11"/>
        <rFont val="Calibri"/>
        <family val="2"/>
      </rPr>
      <t>= single family residential</t>
    </r>
  </si>
  <si>
    <r>
      <t>a</t>
    </r>
    <r>
      <rPr>
        <vertAlign val="subscript"/>
        <sz val="11"/>
        <rFont val="Calibri"/>
        <family val="2"/>
      </rPr>
      <t xml:space="preserve">2 </t>
    </r>
    <r>
      <rPr>
        <sz val="11"/>
        <rFont val="Calibri"/>
        <family val="2"/>
      </rPr>
      <t>= multifamily residential</t>
    </r>
  </si>
  <si>
    <r>
      <t>a</t>
    </r>
    <r>
      <rPr>
        <vertAlign val="subscript"/>
        <sz val="11"/>
        <rFont val="Calibri"/>
        <family val="2"/>
      </rPr>
      <t xml:space="preserve">3 </t>
    </r>
    <r>
      <rPr>
        <sz val="11"/>
        <rFont val="Calibri"/>
        <family val="2"/>
      </rPr>
      <t>= commercial</t>
    </r>
  </si>
  <si>
    <r>
      <t>a</t>
    </r>
    <r>
      <rPr>
        <vertAlign val="subscript"/>
        <sz val="11"/>
        <rFont val="Calibri"/>
        <family val="2"/>
      </rPr>
      <t xml:space="preserve">4 </t>
    </r>
    <r>
      <rPr>
        <sz val="11"/>
        <rFont val="Calibri"/>
        <family val="2"/>
      </rPr>
      <t>= industrial</t>
    </r>
  </si>
  <si>
    <r>
      <t>a</t>
    </r>
    <r>
      <rPr>
        <vertAlign val="subscript"/>
        <sz val="11"/>
        <rFont val="Calibri"/>
        <family val="2"/>
      </rPr>
      <t xml:space="preserve">5 </t>
    </r>
    <r>
      <rPr>
        <sz val="11"/>
        <rFont val="Calibri"/>
        <family val="2"/>
      </rPr>
      <t>= institutional</t>
    </r>
  </si>
  <si>
    <r>
      <t>a</t>
    </r>
    <r>
      <rPr>
        <vertAlign val="subscript"/>
        <sz val="11"/>
        <rFont val="Calibri"/>
        <family val="2"/>
      </rPr>
      <t xml:space="preserve">6 </t>
    </r>
    <r>
      <rPr>
        <sz val="11"/>
        <rFont val="Calibri"/>
        <family val="2"/>
      </rPr>
      <t>= park</t>
    </r>
  </si>
  <si>
    <t>b)</t>
  </si>
  <si>
    <t>single development land use index</t>
  </si>
  <si>
    <t>elasticity of VMT w.r.t. land use index</t>
  </si>
  <si>
    <r>
      <t>*if land use is not present (i.e. a</t>
    </r>
    <r>
      <rPr>
        <i/>
        <vertAlign val="subscript"/>
        <sz val="11"/>
        <color indexed="8"/>
        <rFont val="Calibri"/>
        <family val="2"/>
      </rPr>
      <t>i</t>
    </r>
    <r>
      <rPr>
        <i/>
        <sz val="11"/>
        <color indexed="8"/>
        <rFont val="Calibri"/>
        <family val="2"/>
      </rPr>
      <t xml:space="preserve"> = 0), a</t>
    </r>
    <r>
      <rPr>
        <i/>
        <vertAlign val="subscript"/>
        <sz val="11"/>
        <color indexed="8"/>
        <rFont val="Calibri"/>
        <family val="2"/>
      </rPr>
      <t>i</t>
    </r>
    <r>
      <rPr>
        <i/>
        <sz val="11"/>
        <color indexed="8"/>
        <rFont val="Calibri"/>
        <family val="2"/>
      </rPr>
      <t xml:space="preserve"> is set equal to 0.01</t>
    </r>
  </si>
  <si>
    <t>1b)</t>
  </si>
  <si>
    <r>
      <t>a</t>
    </r>
    <r>
      <rPr>
        <u val="single"/>
        <vertAlign val="subscript"/>
        <sz val="11"/>
        <color indexed="8"/>
        <rFont val="Calibri"/>
        <family val="2"/>
      </rPr>
      <t>i</t>
    </r>
  </si>
  <si>
    <r>
      <t>ln(a</t>
    </r>
    <r>
      <rPr>
        <u val="single"/>
        <vertAlign val="subscript"/>
        <sz val="11"/>
        <color indexed="8"/>
        <rFont val="Calibri"/>
        <family val="2"/>
      </rPr>
      <t>i</t>
    </r>
    <r>
      <rPr>
        <u val="single"/>
        <sz val="11"/>
        <color indexed="8"/>
        <rFont val="Calibri"/>
        <family val="2"/>
      </rPr>
      <t>)</t>
    </r>
  </si>
  <si>
    <t>distance to downtown/job center</t>
  </si>
  <si>
    <t>distance to downtown/job center for typical ITE development</t>
  </si>
  <si>
    <t>elasticity of VMT w.r.t. distance to downtown or job center</t>
  </si>
  <si>
    <t>% Reduction in VMT =  increase in transit mode share * adjustment from transit ridership increase to VMT</t>
  </si>
  <si>
    <t>Increase in transit mode share = % transit mode share for project - % transit mode share for typical ITE development</t>
  </si>
  <si>
    <t>Distance to transit</t>
  </si>
  <si>
    <t>transit mode share calculation (where x = distance to transit)</t>
  </si>
  <si>
    <t>0 - 0.5 miles</t>
  </si>
  <si>
    <t>0.5 - 3</t>
  </si>
  <si>
    <t>&gt; 3 miles</t>
  </si>
  <si>
    <t>-50*x + 38</t>
  </si>
  <si>
    <t>-4.4*x + 15.2</t>
  </si>
  <si>
    <t>no impact</t>
  </si>
  <si>
    <t>transit mode share for typical ITE development</t>
  </si>
  <si>
    <t>= transit mode share for project</t>
  </si>
  <si>
    <t>adjustment from transit mode share increase to VMT</t>
  </si>
  <si>
    <t>adjustment from transit mode share increase to VMT = 1 / avg vehicle occupancy * conversion from VT to VMT</t>
  </si>
  <si>
    <t>conversion from VT to VMT</t>
  </si>
  <si>
    <t>percentage of units that are deed-restricted BMR housing</t>
  </si>
  <si>
    <t>% Reduction in VMT = 4% * percentage of units in project that are deed-restricted BMR housing</t>
  </si>
  <si>
    <t>% Reduction in VMT = % increase in intersections * elasticity of VMT w.r.t. percentage of intersections</t>
  </si>
  <si>
    <t>intersections per square mile</t>
  </si>
  <si>
    <t>intersections per square mile of typical ITE development</t>
  </si>
  <si>
    <t>elasticity of VMT w.r.t. percentage of intersections</t>
  </si>
  <si>
    <t>number of intersections per square mile for a typical ITE development</t>
  </si>
  <si>
    <t>[d]</t>
  </si>
  <si>
    <t>[e]</t>
  </si>
  <si>
    <t>[f]</t>
  </si>
  <si>
    <t>Do not edit</t>
  </si>
  <si>
    <t>General Inputs</t>
  </si>
  <si>
    <t>Project Location</t>
  </si>
  <si>
    <t>compact infill</t>
  </si>
  <si>
    <t>suburban</t>
  </si>
  <si>
    <t>Pulldown menu data hidden here:</t>
  </si>
  <si>
    <t>pre-cap reduction</t>
  </si>
  <si>
    <t>extent of pedestrian accommodations</t>
  </si>
  <si>
    <t>within project and connecting off-site</t>
  </si>
  <si>
    <t>within project only</t>
  </si>
  <si>
    <t>Estimated VMT Reduction</t>
  </si>
  <si>
    <t>percentage of streets within project with traffic calming improvements</t>
  </si>
  <si>
    <t>percentage of intersections within project with traffic calming improvements</t>
  </si>
  <si>
    <t>% streets with improvements</t>
  </si>
  <si>
    <t>% of intersections with improvmeents</t>
  </si>
  <si>
    <t>%VMT Reduction</t>
  </si>
  <si>
    <t>percentage of streets with traffic calming improvements</t>
  </si>
  <si>
    <t>percentage of intersections with traffic calming improvements</t>
  </si>
  <si>
    <t>extent of ped accommodations</t>
  </si>
  <si>
    <t>Extent of Pedestrian Accommodations</t>
  </si>
  <si>
    <t>VMT reduction rate per NEV</t>
  </si>
  <si>
    <t>yes</t>
  </si>
  <si>
    <t>no</t>
  </si>
  <si>
    <t>% Reduction in VMT = % reduction in car-share member annual VMT * number of carshare members per shared car / deployment level based on urban or suburban context</t>
  </si>
  <si>
    <t>% reduction in car-share member annual VMT</t>
  </si>
  <si>
    <t>number of carshare members per shared car</t>
  </si>
  <si>
    <t>Project Setting</t>
  </si>
  <si>
    <t>1 shared car per X population</t>
  </si>
  <si>
    <t>existing transit mode share</t>
  </si>
  <si>
    <t>existing transit mode share (as a %)</t>
  </si>
  <si>
    <t>percentage increase of transit network coverage</t>
  </si>
  <si>
    <t>urban center</t>
  </si>
  <si>
    <t>% Reduction in VMT = % increase in transit network coverage * elasticity of transit ridership w.r.t. service coverage * existing transit mode share * adjustment from transit ridership increase to VMT</t>
  </si>
  <si>
    <t>percentage increase in transit network coverage</t>
  </si>
  <si>
    <t>elasticity of transit ridership w.r.t. service coverage</t>
  </si>
  <si>
    <t>4)</t>
  </si>
  <si>
    <t>adjustment from transit ridership increase to VMT</t>
  </si>
  <si>
    <t>Suburban</t>
  </si>
  <si>
    <t>Urban</t>
  </si>
  <si>
    <t>Urban Center</t>
  </si>
  <si>
    <t>adjustment from transit ridership increase to VMT [see Transit Accessibility assumptions]</t>
  </si>
  <si>
    <t>percentage reduction in headways (increase in frequency)</t>
  </si>
  <si>
    <t>level of implementation</t>
  </si>
  <si>
    <t>% Reduction in VMT = % reduction in headways * elasticity of transit ridership w.r.t. increased frequency of service * adjustment for level of implementation * existing transit mode share * adjustment from transit ridership increase to VMT</t>
  </si>
  <si>
    <t>elasticity of transit ridership w.r.t. increased frequency of service</t>
  </si>
  <si>
    <t>adjustment for level of implementation</t>
  </si>
  <si>
    <t>Adjustment</t>
  </si>
  <si>
    <t>&lt;50%</t>
  </si>
  <si>
    <t>&gt;=50%</t>
  </si>
  <si>
    <t>5)</t>
  </si>
  <si>
    <t>Compact Infill</t>
  </si>
  <si>
    <t>Suburban Center</t>
  </si>
  <si>
    <t>percentage increase in transit ridership on BRT line</t>
  </si>
  <si>
    <t>Implementing strategy?</t>
  </si>
  <si>
    <t>Employer Sponsored Vanpool/Shuttle</t>
  </si>
  <si>
    <t>Ride-Share Program</t>
  </si>
  <si>
    <t>CTR Program - Required</t>
  </si>
  <si>
    <t>CTR Program - Voluntary</t>
  </si>
  <si>
    <t>percentage of employees eligible</t>
  </si>
  <si>
    <t>percentage reduction in vehicle mode share</t>
  </si>
  <si>
    <t>Adjustment from vehicle mode share to commute VMT</t>
  </si>
  <si>
    <t>percentage reduction in commute VMT</t>
  </si>
  <si>
    <t>commute VMT Reduction</t>
  </si>
  <si>
    <t>% reduction</t>
  </si>
  <si>
    <t>percentage reduction in commute VT</t>
  </si>
  <si>
    <t>Adjustment from commute VT to commute VMT</t>
  </si>
  <si>
    <t>Worksite Setting</t>
  </si>
  <si>
    <t>% Reduction in Commute VT</t>
  </si>
  <si>
    <t>deployment level</t>
  </si>
  <si>
    <t>elasticity</t>
  </si>
  <si>
    <t>daily parking charge</t>
  </si>
  <si>
    <t>percentage of employees subject to priced parking</t>
  </si>
  <si>
    <t>Daily Parking Charge</t>
  </si>
  <si>
    <t>strategy implemented</t>
  </si>
  <si>
    <t>9-day/80-hour work week</t>
  </si>
  <si>
    <t>4-day/40-hour work week</t>
  </si>
  <si>
    <t>1.5 days of telecommuting</t>
  </si>
  <si>
    <t>% Reduction in commute VMT = % shift in vehicle mode share of commute trips * % of employees eligible * Adjustment from vehicle mode share to commute VMT</t>
  </si>
  <si>
    <t>% Reduction in commute VMT = % reduction in commute VMT * % of employees eligible</t>
  </si>
  <si>
    <t>% Reduction in commute VMT = % reduction in commute vehicle trips * % of employees eligible * Adjustment from commute VT to commute VMT</t>
  </si>
  <si>
    <t>% Reduction in commute VMT =  % reduction in commute VMT * % of employees subject to priced parking</t>
  </si>
  <si>
    <t>% Reduction in commute VMT =  reduction based on employee participation and strategy implemented</t>
  </si>
  <si>
    <t>Employee Participation</t>
  </si>
  <si>
    <t>% Reduction in commute VMT =  % reduction in commute vehicle trips * % employees eligible * adjustment from commute VT to commute VMT</t>
  </si>
  <si>
    <t>degree of implementation</t>
  </si>
  <si>
    <t>employer size</t>
  </si>
  <si>
    <t>% Reduction in commute VMT =  % shift in vanpool mode share of commute trips * % employees eligible * adjustment from vanpool mode share to commute VMT</t>
  </si>
  <si>
    <t>percentage shift in vanpool mode share of commute trips</t>
  </si>
  <si>
    <t>Level of Implementation</t>
  </si>
  <si>
    <t>Employer Size</t>
  </si>
  <si>
    <t>% shift in vanpool mode share of commute trips</t>
  </si>
  <si>
    <t>low</t>
  </si>
  <si>
    <t>medium</t>
  </si>
  <si>
    <t>high</t>
  </si>
  <si>
    <t>small</t>
  </si>
  <si>
    <t>large</t>
  </si>
  <si>
    <t>Adjustment from vanpool mode share to commute VMT</t>
  </si>
  <si>
    <t>Adjustment from vanpool mode share to commute VMT [see Transit Accessibility assumptions]</t>
  </si>
  <si>
    <t>% Reduction in commute VMT =  % reduction in commute VMT * % of employees eligible</t>
  </si>
  <si>
    <t>% Reduction</t>
  </si>
  <si>
    <t>percentage of families participating</t>
  </si>
  <si>
    <t>Implementation</t>
  </si>
  <si>
    <t>% Participation</t>
  </si>
  <si>
    <t>avg # of familes per carpool</t>
  </si>
  <si>
    <t>percentage of school days = 39 school weeks / 52 weeks</t>
  </si>
  <si>
    <t>school VMT Reduction</t>
  </si>
  <si>
    <t>% Reduction in school VMT =  % of families expected to use/using school bus program * adjustment to convert from participation to daily school VMT to annual school VMT</t>
  </si>
  <si>
    <t>% Reduction in school VMT =  % of families participating * adjustment to convert from participation to daily school VMT to annual school VMT</t>
  </si>
  <si>
    <t>adjustment to convert from participation to daily school VMT to annual school VMT</t>
  </si>
  <si>
    <t>adjustment to convert from participation to daily school VMT to annual school VMT = [(avg # of families per carpool - 1) / avg # of families per carpool * % of school days</t>
  </si>
  <si>
    <t>adjustment to convert from participation to daily school VMT to annual school VMT = % of school days = 39 school weeks / 52 weeks</t>
  </si>
  <si>
    <t>[g]</t>
  </si>
  <si>
    <t>[h]</t>
  </si>
  <si>
    <t>[i]</t>
  </si>
  <si>
    <t>[j]</t>
  </si>
  <si>
    <t>[k]</t>
  </si>
  <si>
    <t>Percent of trips which are:</t>
  </si>
  <si>
    <t>work trips</t>
  </si>
  <si>
    <t>school trips</t>
  </si>
  <si>
    <t>Max Reduction (all VMT):</t>
  </si>
  <si>
    <t>Cross-Category VMT Reductions</t>
  </si>
  <si>
    <t>Land Use, Neighborhood, Parking + Transit</t>
  </si>
  <si>
    <t>CTR Programs + School</t>
  </si>
  <si>
    <t>static all-day pricing</t>
  </si>
  <si>
    <t>peak period variable pricing</t>
  </si>
  <si>
    <t>congested</t>
  </si>
  <si>
    <t>free-flow</t>
  </si>
  <si>
    <t>project setting</t>
  </si>
  <si>
    <t>urban + comprehensive transit</t>
  </si>
  <si>
    <t>suburban + heavy rail</t>
  </si>
  <si>
    <t>all other</t>
  </si>
  <si>
    <t>Setting</t>
  </si>
  <si>
    <t>HBW</t>
  </si>
  <si>
    <t>HBS</t>
  </si>
  <si>
    <t>Trip Type</t>
  </si>
  <si>
    <t>Percentage increase = (# of housing units or jobs - # of housing units or jobs for typical ITE development) / (#of housing units or jobs for typical ITE development)
[maximum increase capped at 500%]</t>
  </si>
  <si>
    <t>Percentage increase = (intersections per sq mile - intersections per sq mile of typical ITE development) / (intersections per sq mile of typical ITE development)
[maximum increase capped at 500%]</t>
  </si>
  <si>
    <r>
      <t>a = sumproduct (a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, ln(a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)) for i= 1 - 6</t>
    </r>
  </si>
  <si>
    <t>Percentage increase in land use index = (land use index - single use development land use index) / single use development land use index
[maximum increase capped at 500%]</t>
  </si>
  <si>
    <t>% Reduction in VMT = % decrease in distance to downtown or job center * elasticity of VMT w.r.t. density</t>
  </si>
  <si>
    <t>Percentage decrease = (distance to downtown or job center for typical ITE development - distance to downtown or job center) / (distance to downtown or job center for typical ITE development</t>
  </si>
  <si>
    <t>suburban + commuter rail</t>
  </si>
  <si>
    <t>number of NEVs per household</t>
  </si>
  <si>
    <t>percentage of employees participating</t>
  </si>
  <si>
    <t>Cross-Category VMT Reduction</t>
  </si>
  <si>
    <t>Global VMT Reduction</t>
  </si>
  <si>
    <t>or</t>
  </si>
  <si>
    <t>X% =</t>
  </si>
  <si>
    <t xml:space="preserve">X% = </t>
  </si>
  <si>
    <t>Global Maximum for:</t>
  </si>
  <si>
    <t>= Minimum (X%, 1- (1-[a])*(1-[b]))
where:</t>
  </si>
  <si>
    <t>= Minimum (X%, 1- (1-[a])*(1-[b])*(1-[c])*(1-[d]))
where:</t>
  </si>
  <si>
    <t>Cross Category Maximum for:</t>
  </si>
  <si>
    <t>Land Use / Location Maximum for:</t>
  </si>
  <si>
    <t xml:space="preserve">= Minimum (X%, 1- (1-[a])*(1-[b])*(1-[c])*(1-[d])*(1-[e])*(1-[f]))
where:
</t>
  </si>
  <si>
    <t>with NEV</t>
  </si>
  <si>
    <t>without NEV</t>
  </si>
  <si>
    <t>Neighborhood / Site Enhancements Maximum for:</t>
  </si>
  <si>
    <t>= Minimum (X%, 1- (1-[a])*(1-[b])*(1-[c]))
where:</t>
  </si>
  <si>
    <r>
      <t>Work Trip</t>
    </r>
    <r>
      <rPr>
        <sz val="11"/>
        <color theme="1"/>
        <rFont val="Calibri"/>
        <family val="2"/>
      </rPr>
      <t xml:space="preserve"> Category Maximum</t>
    </r>
  </si>
  <si>
    <r>
      <t>School Trip</t>
    </r>
    <r>
      <rPr>
        <sz val="11"/>
        <color theme="1"/>
        <rFont val="Calibri"/>
        <family val="2"/>
      </rPr>
      <t xml:space="preserve"> Category Maximum</t>
    </r>
  </si>
  <si>
    <t>= Minimum(X%, %work trips*%category work VMT reduction + %school trips * %category school VMT reduction
where:</t>
  </si>
  <si>
    <t>= Minimum (X%, 1- (1-Max([a],[b]))*(1-[c])*(1-[d])*(1-[e])...*(1-[i]))
where:</t>
  </si>
  <si>
    <t>= Minimum (X%, 1- (1-[j])*(1-[k]))
where:</t>
  </si>
  <si>
    <t xml:space="preserve"> Road Pricing / Management Strategies</t>
  </si>
  <si>
    <t>see assumptions tab</t>
  </si>
  <si>
    <t>see input tab</t>
  </si>
  <si>
    <r>
      <t xml:space="preserve">See </t>
    </r>
    <r>
      <rPr>
        <i/>
        <sz val="11"/>
        <rFont val="Calibri"/>
        <family val="2"/>
      </rPr>
      <t>Density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</si>
  <si>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Design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</si>
  <si>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Diversity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</si>
  <si>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Destination Accessibility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</si>
  <si>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Transit Accessibility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</si>
  <si>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BMR Housing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</si>
  <si>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Pedestrian Network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</si>
  <si>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Traffic Calming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</si>
  <si>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NEV Network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</si>
  <si>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Parking Supply Limits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</si>
  <si>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Unbundle Parking Costs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</si>
  <si>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On-Street Market Pricing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</si>
  <si>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Network Expansion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</si>
  <si>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Service Frequency/Speed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</si>
  <si>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Bus Rapid Transit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</si>
  <si>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CTR Program - Required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</si>
  <si>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CTR Program - Voluntary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</si>
  <si>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Transit Fare Subsidy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</si>
  <si>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Employee Parking Cash-Out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</si>
  <si>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Workplace Parking Pricing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</si>
  <si>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Alternative Work Schedules and Telecommute Program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</si>
  <si>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CTR Marketing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</si>
  <si>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Employer Sponsored Vanpool/Shuttle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</si>
  <si>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Ride-Share Program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</si>
  <si>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School Pool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</si>
  <si>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School Bus fact sheet</t>
    </r>
    <r>
      <rPr>
        <i/>
        <sz val="11"/>
        <rFont val="Calibri"/>
        <family val="2"/>
      </rPr>
      <t xml:space="preserve"> for more detail</t>
    </r>
  </si>
  <si>
    <r>
      <t xml:space="preserve">See </t>
    </r>
    <r>
      <rPr>
        <i/>
        <sz val="11"/>
        <rFont val="Calibri"/>
        <family val="2"/>
      </rPr>
      <t>appendix for detailed documentation of assumptions</t>
    </r>
  </si>
  <si>
    <r>
      <t xml:space="preserve">See </t>
    </r>
    <r>
      <rPr>
        <i/>
        <sz val="11"/>
        <rFont val="Calibri"/>
        <family val="2"/>
      </rPr>
      <t>Introduction Section for detailed documentation of assumptions</t>
    </r>
  </si>
  <si>
    <t>increase in on-street parking prices (min 25%, max 50%)</t>
  </si>
  <si>
    <t>% Reduction in VMT = number of NEVs per household * VMT reduction rate per NEV</t>
  </si>
  <si>
    <t>Parking Policy / Pricing Maximum</t>
  </si>
  <si>
    <t>Transit System Improvements Maximum</t>
  </si>
  <si>
    <r>
      <rPr>
        <i/>
        <sz val="11"/>
        <color indexed="8"/>
        <rFont val="Calibri"/>
        <family val="2"/>
      </rPr>
      <t xml:space="preserve">Total </t>
    </r>
    <r>
      <rPr>
        <sz val="11"/>
        <color theme="1"/>
        <rFont val="Calibri"/>
        <family val="2"/>
      </rPr>
      <t>Category Maximum</t>
    </r>
  </si>
  <si>
    <t xml:space="preserve"> Road Pricing / Management Maximum</t>
  </si>
  <si>
    <r>
      <t xml:space="preserve">NEV Network </t>
    </r>
    <r>
      <rPr>
        <sz val="11"/>
        <color theme="1"/>
        <rFont val="Calibri"/>
        <family val="2"/>
      </rPr>
      <t xml:space="preserve"> (12.7%)
&lt;NEV Parking&gt;</t>
    </r>
  </si>
  <si>
    <r>
      <t xml:space="preserve">Car Share Program </t>
    </r>
    <r>
      <rPr>
        <sz val="10"/>
        <rFont val="Arial"/>
        <family val="2"/>
      </rPr>
      <t>(1.0%)</t>
    </r>
  </si>
  <si>
    <r>
      <t xml:space="preserve">Employer-Sponsored Vanpool/Shuttle </t>
    </r>
    <r>
      <rPr>
        <sz val="10"/>
        <rFont val="Arial"/>
        <family val="2"/>
      </rPr>
      <t>(14.3% work VMT)</t>
    </r>
  </si>
  <si>
    <t>ITE parking provision for the project site</t>
  </si>
  <si>
    <t>Actual parking provision for the project site</t>
  </si>
  <si>
    <t>existing transit mode share (as a % of total daily trips)</t>
  </si>
  <si>
    <t>&gt;=50% of lines (within project) improved</t>
  </si>
  <si>
    <t>&lt;50% of lines (within project) improved</t>
  </si>
  <si>
    <t>percentage of lines serving project converted to BRT</t>
  </si>
  <si>
    <t>% Reduction in VMT = % increase in transit ridership on BRT line * existing transit mode share * percentage of lines serving project converted to BRT * adjustment from transit ridership increase to VMT</t>
  </si>
  <si>
    <t>amount of transit subsidy per passenger (daily equivalent)</t>
  </si>
  <si>
    <t>Daily Transit Subsidy (per passenger)</t>
  </si>
  <si>
    <r>
      <t xml:space="preserve">CTR Program - Required </t>
    </r>
    <r>
      <rPr>
        <sz val="10"/>
        <rFont val="Arial"/>
        <family val="2"/>
      </rPr>
      <t>(work VMT)</t>
    </r>
  </si>
  <si>
    <r>
      <t>CTR Program - Voluntary</t>
    </r>
    <r>
      <rPr>
        <sz val="10"/>
        <rFont val="Arial"/>
        <family val="2"/>
      </rPr>
      <t xml:space="preserve"> (work VMT)</t>
    </r>
  </si>
  <si>
    <r>
      <t>Transit Fare Subsidy</t>
    </r>
    <r>
      <rPr>
        <sz val="10"/>
        <rFont val="Arial"/>
        <family val="2"/>
      </rPr>
      <t xml:space="preserve"> (work VMT)</t>
    </r>
  </si>
  <si>
    <r>
      <t>Employee Parking Cash-Out</t>
    </r>
    <r>
      <rPr>
        <sz val="10"/>
        <rFont val="Arial"/>
        <family val="2"/>
      </rPr>
      <t xml:space="preserve"> (work VMT)</t>
    </r>
  </si>
  <si>
    <r>
      <t>Workplace Parking Pricing</t>
    </r>
    <r>
      <rPr>
        <sz val="10"/>
        <rFont val="Arial"/>
        <family val="2"/>
      </rPr>
      <t xml:space="preserve"> (work VMT)</t>
    </r>
  </si>
  <si>
    <r>
      <t>Alternative Work Schedules and Telecommute Program</t>
    </r>
    <r>
      <rPr>
        <sz val="10"/>
        <rFont val="Arial"/>
        <family val="2"/>
      </rPr>
      <t xml:space="preserve"> (work VMT)</t>
    </r>
  </si>
  <si>
    <r>
      <t>CTR Marketing</t>
    </r>
    <r>
      <rPr>
        <sz val="10"/>
        <rFont val="Arial"/>
        <family val="2"/>
      </rPr>
      <t xml:space="preserve"> (work VMT)</t>
    </r>
  </si>
  <si>
    <r>
      <t>Employer-Sponsored Vanpool/Shuttle</t>
    </r>
    <r>
      <rPr>
        <sz val="10"/>
        <rFont val="Arial"/>
        <family val="2"/>
      </rPr>
      <t xml:space="preserve"> (work VMT)</t>
    </r>
  </si>
  <si>
    <r>
      <t>Ride Share Program</t>
    </r>
    <r>
      <rPr>
        <sz val="10"/>
        <rFont val="Arial"/>
        <family val="2"/>
      </rPr>
      <t xml:space="preserve"> (work VMT)</t>
    </r>
  </si>
  <si>
    <r>
      <t>School Pool</t>
    </r>
    <r>
      <rPr>
        <sz val="10"/>
        <rFont val="Arial"/>
        <family val="2"/>
      </rPr>
      <t xml:space="preserve"> (school VMT)</t>
    </r>
  </si>
  <si>
    <r>
      <t>School Bus</t>
    </r>
    <r>
      <rPr>
        <sz val="10"/>
        <rFont val="Arial"/>
        <family val="2"/>
      </rPr>
      <t xml:space="preserve"> (school VMT)</t>
    </r>
  </si>
  <si>
    <r>
      <t xml:space="preserve">% Category </t>
    </r>
    <r>
      <rPr>
        <b/>
        <i/>
        <sz val="11"/>
        <color indexed="8"/>
        <rFont val="Calibri"/>
        <family val="2"/>
      </rPr>
      <t>Work</t>
    </r>
    <r>
      <rPr>
        <sz val="11"/>
        <color theme="1"/>
        <rFont val="Calibri"/>
        <family val="2"/>
      </rPr>
      <t xml:space="preserve"> VMT Reduction</t>
    </r>
  </si>
  <si>
    <r>
      <t xml:space="preserve">% Category </t>
    </r>
    <r>
      <rPr>
        <b/>
        <i/>
        <sz val="11"/>
        <color indexed="8"/>
        <rFont val="Calibri"/>
        <family val="2"/>
      </rPr>
      <t>Overall</t>
    </r>
    <r>
      <rPr>
        <sz val="11"/>
        <color theme="1"/>
        <rFont val="Calibri"/>
        <family val="2"/>
      </rPr>
      <t xml:space="preserve"> VMT Reduction</t>
    </r>
  </si>
  <si>
    <r>
      <t xml:space="preserve">Category </t>
    </r>
    <r>
      <rPr>
        <b/>
        <i/>
        <sz val="11"/>
        <color indexed="8"/>
        <rFont val="Calibri"/>
        <family val="2"/>
      </rPr>
      <t xml:space="preserve">Overall </t>
    </r>
    <r>
      <rPr>
        <sz val="11"/>
        <color theme="1"/>
        <rFont val="Calibri"/>
        <family val="2"/>
      </rPr>
      <t>VMT Reduction</t>
    </r>
  </si>
  <si>
    <r>
      <t xml:space="preserve">% Category </t>
    </r>
    <r>
      <rPr>
        <b/>
        <i/>
        <sz val="11"/>
        <color indexed="8"/>
        <rFont val="Calibri"/>
        <family val="2"/>
      </rPr>
      <t xml:space="preserve">School </t>
    </r>
    <r>
      <rPr>
        <sz val="11"/>
        <color theme="1"/>
        <rFont val="Calibri"/>
        <family val="2"/>
      </rPr>
      <t>VMT Reduction</t>
    </r>
  </si>
  <si>
    <t>for typical ITE development</t>
  </si>
  <si>
    <t>ITE parking provision</t>
  </si>
  <si>
    <t>Actual parking provision</t>
  </si>
  <si>
    <t>% Reduction in VMT = (ITE parking provision - actual parking provision) / ITE parking provision * 0.5</t>
  </si>
  <si>
    <t>Commute Trip Reduction (CTR) Programs and School Strategies</t>
  </si>
  <si>
    <t>distance to downtown (in miles) for typical ITE development</t>
  </si>
  <si>
    <t>transit mode share (as a % of total daily trips) for typical ITE development</t>
  </si>
  <si>
    <t>N/A</t>
  </si>
  <si>
    <t>adjustment from vehicle ownership to VMT = minimum (1, avg trips per 2 vehicles * 1 vehicle per avg trips)</t>
  </si>
  <si>
    <r>
      <t>average vehicle occupancy</t>
    </r>
    <r>
      <rPr>
        <vertAlign val="superscript"/>
        <sz val="11"/>
        <color indexed="8"/>
        <rFont val="Calibri"/>
        <family val="2"/>
      </rPr>
      <t>1</t>
    </r>
  </si>
  <si>
    <t xml:space="preserve">1. CAPCOA data updated.  MTC (instead of statewide #s) used. </t>
  </si>
  <si>
    <t>Weekday %</t>
  </si>
  <si>
    <t>HBSocial</t>
  </si>
  <si>
    <t>NHB</t>
  </si>
  <si>
    <t>HBShop</t>
  </si>
  <si>
    <t>Source: SF Bay Area Travel Survey 2000, Regional Travel Characteristics Report, Table 2.1.2</t>
  </si>
  <si>
    <r>
      <t>percentage of trips which are work trips</t>
    </r>
    <r>
      <rPr>
        <vertAlign val="superscript"/>
        <sz val="11"/>
        <color indexed="8"/>
        <rFont val="Calibri"/>
        <family val="2"/>
      </rPr>
      <t>1</t>
    </r>
  </si>
  <si>
    <r>
      <t>percentage of trips which are school trips</t>
    </r>
    <r>
      <rPr>
        <vertAlign val="superscript"/>
        <sz val="11"/>
        <color indexed="8"/>
        <rFont val="Calibri"/>
        <family val="2"/>
      </rPr>
      <t>1</t>
    </r>
  </si>
  <si>
    <r>
      <t xml:space="preserve">Transit Accessibility </t>
    </r>
    <r>
      <rPr>
        <sz val="10"/>
        <rFont val="Arial"/>
        <family val="2"/>
      </rPr>
      <t>(25.5%)</t>
    </r>
  </si>
  <si>
    <t>1. CAPCOA data has been updated. SF Bay Area Travel Survey 2000, Regional Travel Characteristics Report, Table 2.2.4</t>
  </si>
  <si>
    <r>
      <t xml:space="preserve">Network Expansion </t>
    </r>
    <r>
      <rPr>
        <sz val="10"/>
        <rFont val="Arial"/>
        <family val="2"/>
      </rPr>
      <t>(8.5%)</t>
    </r>
  </si>
  <si>
    <r>
      <t xml:space="preserve">Service Frequency/Speed </t>
    </r>
    <r>
      <rPr>
        <sz val="10"/>
        <rFont val="Arial"/>
        <family val="2"/>
      </rPr>
      <t>(2.6%)</t>
    </r>
  </si>
  <si>
    <r>
      <t xml:space="preserve">Bus Rapid Transit </t>
    </r>
    <r>
      <rPr>
        <sz val="10"/>
        <rFont val="Arial"/>
        <family val="2"/>
      </rPr>
      <t>(3.3%)</t>
    </r>
  </si>
  <si>
    <r>
      <t># of driver trips for a household w/ 2 vehicles</t>
    </r>
    <r>
      <rPr>
        <vertAlign val="superscript"/>
        <sz val="11"/>
        <color indexed="8"/>
        <rFont val="Calibri"/>
        <family val="2"/>
      </rPr>
      <t>1</t>
    </r>
  </si>
  <si>
    <r>
      <t># of driver trips for a household w/ 1 vehicle</t>
    </r>
    <r>
      <rPr>
        <vertAlign val="superscript"/>
        <sz val="11"/>
        <color indexed="8"/>
        <rFont val="Calibri"/>
        <family val="2"/>
      </rPr>
      <t>1</t>
    </r>
  </si>
  <si>
    <t>1. CAPCOA data has been updated.  2000-2001 CA Statewide HH Travel Survey.  NHTS  Table 8.7 (MTC)</t>
  </si>
  <si>
    <t>Total Project Unmitigated VMT</t>
  </si>
  <si>
    <r>
      <t>% reduction</t>
    </r>
    <r>
      <rPr>
        <vertAlign val="superscript"/>
        <sz val="11"/>
        <color indexed="8"/>
        <rFont val="Calibri"/>
        <family val="2"/>
      </rPr>
      <t>1</t>
    </r>
  </si>
  <si>
    <r>
      <t xml:space="preserve">1.  See </t>
    </r>
    <r>
      <rPr>
        <i/>
        <sz val="11"/>
        <rFont val="Calibri"/>
        <family val="2"/>
      </rPr>
      <t>Carshare Program fact sheet</t>
    </r>
    <r>
      <rPr>
        <i/>
        <sz val="11"/>
        <rFont val="Calibri"/>
        <family val="2"/>
      </rPr>
      <t xml:space="preserve"> for more detail.    Note that CAPCOA data has been updated with local literature.</t>
    </r>
  </si>
  <si>
    <t>1 NEV per</t>
  </si>
  <si>
    <t># of households</t>
  </si>
  <si>
    <t>*25 = low penetration, 10 = medium, 1 = high</t>
  </si>
  <si>
    <t xml:space="preserve">*low (&lt; 10 vans), medium (&lt;30 vans), large (&gt;30 vans) </t>
  </si>
  <si>
    <t xml:space="preserve">*small (&lt; 100 employees), medium (&lt; 500), large (&gt;500) </t>
  </si>
  <si>
    <t>low = contact list covering &lt;50% of all students
medium = contact list covering 75% of all students
high = contact list covering majority of students and active coordinator</t>
  </si>
  <si>
    <t>percent of families expected to use school bus program</t>
  </si>
  <si>
    <r>
      <t>Percentage of work related VMT</t>
    </r>
    <r>
      <rPr>
        <vertAlign val="superscript"/>
        <sz val="11"/>
        <rFont val="Calibri"/>
        <family val="2"/>
      </rPr>
      <t>1</t>
    </r>
  </si>
  <si>
    <t>General Input</t>
  </si>
  <si>
    <t>Percentage of Work Related VMT</t>
  </si>
  <si>
    <t>Linear Dampening Method:</t>
  </si>
  <si>
    <t>mile = dampening point</t>
  </si>
  <si>
    <t>Reduction in VMT</t>
  </si>
  <si>
    <t>If distance to transit &gt; dampening point, then:
% adjusted reduction in VMT =  (1-((distance to transit - dampening point)/(3 miles - dampening point)))*% reduction in VMT</t>
  </si>
  <si>
    <t>School Calculations</t>
  </si>
  <si>
    <t>Work Calculations</t>
  </si>
  <si>
    <t>Work Calculations - Linear Dampening</t>
  </si>
  <si>
    <r>
      <t xml:space="preserve">% Category </t>
    </r>
    <r>
      <rPr>
        <b/>
        <i/>
        <sz val="11"/>
        <color indexed="8"/>
        <rFont val="Calibri"/>
        <family val="2"/>
      </rPr>
      <t>Work</t>
    </r>
    <r>
      <rPr>
        <sz val="11"/>
        <color theme="1"/>
        <rFont val="Calibri"/>
        <family val="2"/>
      </rPr>
      <t xml:space="preserve"> VMT Reduction - Adjusted</t>
    </r>
  </si>
  <si>
    <t>If distance to transit &lt; dampening point, then
Adjusted % category work VMT reduction = distance to transit/dampening point * % category work vmt reduction</t>
  </si>
  <si>
    <t>1. 22% work trips represents a mixed-used site (SF Bay Area Travel Survey).  See Assumptions Tab for more detail.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</si>
</sst>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"/>
    <numFmt numFmtId="178" formatCode="0.000%"/>
    <numFmt numFmtId="179" formatCode="0.0000%"/>
    <numFmt numFmtId="180" formatCode="&quot;$&quot;#,##0.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0.0000000000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1"/>
      <name val="Calibri"/>
      <family val="2"/>
    </font>
    <font>
      <i/>
      <vertAlign val="sub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vertAlign val="subscript"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u val="single"/>
      <sz val="11"/>
      <color indexed="30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i/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sz val="11"/>
      <color indexed="23"/>
      <name val="Calibri"/>
      <family val="2"/>
    </font>
    <font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u val="single"/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11"/>
      <color theme="0"/>
      <name val="Arial"/>
      <family val="2"/>
    </font>
    <font>
      <i/>
      <u val="single"/>
      <sz val="11"/>
      <color theme="10"/>
      <name val="Calibri"/>
      <family val="2"/>
    </font>
    <font>
      <i/>
      <sz val="10"/>
      <color theme="1"/>
      <name val="Calibri"/>
      <family val="2"/>
    </font>
    <font>
      <sz val="11"/>
      <color theme="0" tint="-0.4999699890613556"/>
      <name val="Calibri"/>
      <family val="2"/>
    </font>
    <font>
      <u val="single"/>
      <sz val="11"/>
      <color theme="1"/>
      <name val="Calibri"/>
      <family val="2"/>
    </font>
    <font>
      <sz val="11"/>
      <color rgb="FF0070C0"/>
      <name val="Calibri"/>
      <family val="2"/>
    </font>
    <font>
      <b/>
      <u val="single"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57">
      <alignment/>
      <protection/>
    </xf>
    <xf numFmtId="0" fontId="2" fillId="0" borderId="0" xfId="57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73" fillId="33" borderId="0" xfId="57" applyFont="1" applyFill="1" applyBorder="1" applyAlignment="1">
      <alignment horizontal="center" vertical="center" wrapText="1"/>
      <protection/>
    </xf>
    <xf numFmtId="0" fontId="2" fillId="0" borderId="0" xfId="57" applyAlignment="1">
      <alignment horizontal="center"/>
      <protection/>
    </xf>
    <xf numFmtId="0" fontId="2" fillId="0" borderId="0" xfId="57" applyFill="1">
      <alignment/>
      <protection/>
    </xf>
    <xf numFmtId="0" fontId="2" fillId="0" borderId="0" xfId="57" applyFont="1" applyBorder="1" applyAlignment="1">
      <alignment horizontal="center" vertical="center"/>
      <protection/>
    </xf>
    <xf numFmtId="0" fontId="6" fillId="34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6" fillId="35" borderId="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36" borderId="0" xfId="57" applyFont="1" applyFill="1" applyBorder="1" applyAlignment="1">
      <alignment horizontal="center" vertical="center" wrapText="1"/>
      <protection/>
    </xf>
    <xf numFmtId="0" fontId="6" fillId="37" borderId="0" xfId="57" applyFont="1" applyFill="1" applyBorder="1" applyAlignment="1">
      <alignment horizontal="center" vertical="center" wrapText="1"/>
      <protection/>
    </xf>
    <xf numFmtId="0" fontId="6" fillId="38" borderId="0" xfId="57" applyFont="1" applyFill="1" applyBorder="1" applyAlignment="1">
      <alignment horizontal="center" vertical="center" wrapText="1"/>
      <protection/>
    </xf>
    <xf numFmtId="0" fontId="8" fillId="34" borderId="0" xfId="57" applyFont="1" applyFill="1" applyBorder="1" applyAlignment="1">
      <alignment horizontal="center" vertical="center" wrapText="1"/>
      <protection/>
    </xf>
    <xf numFmtId="0" fontId="2" fillId="0" borderId="0" xfId="57" applyFill="1" applyBorder="1" applyAlignment="1">
      <alignment horizontal="center" vertical="center" wrapText="1"/>
      <protection/>
    </xf>
    <xf numFmtId="0" fontId="2" fillId="0" borderId="0" xfId="57" applyBorder="1" applyAlignment="1">
      <alignment horizontal="center" vertical="center" wrapText="1"/>
      <protection/>
    </xf>
    <xf numFmtId="0" fontId="8" fillId="35" borderId="0" xfId="57" applyFont="1" applyFill="1" applyBorder="1" applyAlignment="1">
      <alignment horizontal="center" vertical="center" wrapText="1"/>
      <protection/>
    </xf>
    <xf numFmtId="0" fontId="8" fillId="36" borderId="0" xfId="57" applyFont="1" applyFill="1" applyBorder="1" applyAlignment="1">
      <alignment horizontal="center" vertical="center" wrapText="1"/>
      <protection/>
    </xf>
    <xf numFmtId="0" fontId="8" fillId="37" borderId="0" xfId="57" applyFont="1" applyFill="1" applyBorder="1" applyAlignment="1">
      <alignment horizontal="center" vertical="center" wrapText="1"/>
      <protection/>
    </xf>
    <xf numFmtId="0" fontId="8" fillId="38" borderId="0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74" fillId="0" borderId="0" xfId="57" applyFont="1" applyBorder="1" applyAlignment="1">
      <alignment horizontal="center" vertical="center" wrapText="1"/>
      <protection/>
    </xf>
    <xf numFmtId="0" fontId="9" fillId="34" borderId="0" xfId="57" applyFont="1" applyFill="1" applyBorder="1" applyAlignment="1">
      <alignment horizontal="center" vertical="center" wrapText="1"/>
      <protection/>
    </xf>
    <xf numFmtId="0" fontId="9" fillId="35" borderId="0" xfId="57" applyFont="1" applyFill="1" applyBorder="1" applyAlignment="1">
      <alignment horizontal="center" vertical="center" wrapText="1"/>
      <protection/>
    </xf>
    <xf numFmtId="0" fontId="9" fillId="36" borderId="0" xfId="57" applyFont="1" applyFill="1" applyBorder="1" applyAlignment="1">
      <alignment horizontal="center" vertical="center" wrapText="1"/>
      <protection/>
    </xf>
    <xf numFmtId="0" fontId="9" fillId="37" borderId="0" xfId="57" applyFont="1" applyFill="1" applyBorder="1" applyAlignment="1">
      <alignment horizontal="center" vertical="center" wrapText="1"/>
      <protection/>
    </xf>
    <xf numFmtId="0" fontId="9" fillId="38" borderId="0" xfId="57" applyFont="1" applyFill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0" fontId="2" fillId="0" borderId="0" xfId="57" applyFont="1">
      <alignment/>
      <protection/>
    </xf>
    <xf numFmtId="0" fontId="2" fillId="36" borderId="0" xfId="57" applyFont="1" applyFill="1" applyBorder="1" applyAlignment="1">
      <alignment horizontal="center" vertical="center" wrapText="1"/>
      <protection/>
    </xf>
    <xf numFmtId="0" fontId="2" fillId="37" borderId="0" xfId="57" applyFont="1" applyFill="1" applyBorder="1" applyAlignment="1">
      <alignment horizontal="center" vertical="center" wrapText="1"/>
      <protection/>
    </xf>
    <xf numFmtId="0" fontId="2" fillId="35" borderId="0" xfId="57" applyFont="1" applyFill="1" applyBorder="1" applyAlignment="1">
      <alignment horizontal="center" vertical="center" wrapText="1"/>
      <protection/>
    </xf>
    <xf numFmtId="0" fontId="2" fillId="0" borderId="0" xfId="57" applyAlignment="1">
      <alignment horizontal="center" vertical="center" wrapText="1"/>
      <protection/>
    </xf>
    <xf numFmtId="0" fontId="74" fillId="0" borderId="0" xfId="57" applyFont="1" applyBorder="1" applyAlignment="1">
      <alignment horizontal="center" vertical="center"/>
      <protection/>
    </xf>
    <xf numFmtId="0" fontId="10" fillId="0" borderId="0" xfId="57" applyFont="1" applyAlignment="1">
      <alignment horizontal="center" vertical="center" wrapText="1"/>
      <protection/>
    </xf>
    <xf numFmtId="0" fontId="2" fillId="34" borderId="0" xfId="57" applyFill="1" applyBorder="1" applyAlignment="1">
      <alignment horizontal="center" vertical="center" wrapText="1"/>
      <protection/>
    </xf>
    <xf numFmtId="0" fontId="2" fillId="0" borderId="0" xfId="57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" fillId="38" borderId="0" xfId="57" applyFont="1" applyFill="1" applyBorder="1" applyAlignment="1">
      <alignment horizontal="center" vertical="center" wrapText="1"/>
      <protection/>
    </xf>
    <xf numFmtId="0" fontId="74" fillId="0" borderId="0" xfId="57" applyFont="1" applyBorder="1">
      <alignment/>
      <protection/>
    </xf>
    <xf numFmtId="0" fontId="9" fillId="39" borderId="0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wrapText="1"/>
      <protection/>
    </xf>
    <xf numFmtId="0" fontId="2" fillId="0" borderId="0" xfId="57" applyFill="1" applyBorder="1" applyAlignment="1">
      <alignment horizontal="center" wrapText="1"/>
      <protection/>
    </xf>
    <xf numFmtId="0" fontId="2" fillId="0" borderId="0" xfId="57" applyFill="1" applyBorder="1" applyAlignment="1">
      <alignment horizontal="center" vertical="center"/>
      <protection/>
    </xf>
    <xf numFmtId="0" fontId="2" fillId="0" borderId="0" xfId="57" applyAlignment="1">
      <alignment horizontal="center" wrapText="1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18" xfId="0" applyBorder="1" applyAlignment="1">
      <alignment horizontal="right"/>
    </xf>
    <xf numFmtId="0" fontId="72" fillId="0" borderId="0" xfId="0" applyFont="1" applyAlignment="1">
      <alignment/>
    </xf>
    <xf numFmtId="0" fontId="0" fillId="13" borderId="24" xfId="0" applyFill="1" applyBorder="1" applyAlignment="1">
      <alignment/>
    </xf>
    <xf numFmtId="0" fontId="0" fillId="0" borderId="0" xfId="0" applyBorder="1" applyAlignment="1" quotePrefix="1">
      <alignment/>
    </xf>
    <xf numFmtId="0" fontId="0" fillId="40" borderId="24" xfId="0" applyFill="1" applyBorder="1" applyAlignment="1">
      <alignment/>
    </xf>
    <xf numFmtId="0" fontId="0" fillId="41" borderId="24" xfId="0" applyFill="1" applyBorder="1" applyAlignment="1">
      <alignment/>
    </xf>
    <xf numFmtId="0" fontId="6" fillId="34" borderId="25" xfId="57" applyFont="1" applyFill="1" applyBorder="1" applyAlignment="1">
      <alignment horizontal="center" vertical="center" wrapText="1"/>
      <protection/>
    </xf>
    <xf numFmtId="0" fontId="6" fillId="35" borderId="25" xfId="57" applyFont="1" applyFill="1" applyBorder="1" applyAlignment="1">
      <alignment horizontal="center" vertical="center" wrapText="1"/>
      <protection/>
    </xf>
    <xf numFmtId="0" fontId="6" fillId="36" borderId="25" xfId="57" applyFont="1" applyFill="1" applyBorder="1" applyAlignment="1">
      <alignment horizontal="center" vertical="center" wrapText="1"/>
      <protection/>
    </xf>
    <xf numFmtId="0" fontId="6" fillId="37" borderId="25" xfId="57" applyFont="1" applyFill="1" applyBorder="1" applyAlignment="1">
      <alignment horizontal="center" vertical="center" wrapText="1"/>
      <protection/>
    </xf>
    <xf numFmtId="0" fontId="6" fillId="38" borderId="25" xfId="57" applyFont="1" applyFill="1" applyBorder="1" applyAlignment="1">
      <alignment horizontal="center" vertical="center" wrapText="1"/>
      <protection/>
    </xf>
    <xf numFmtId="0" fontId="2" fillId="0" borderId="26" xfId="57" applyFont="1" applyFill="1" applyBorder="1" applyAlignment="1">
      <alignment horizontal="center" vertical="center" wrapText="1"/>
      <protection/>
    </xf>
    <xf numFmtId="0" fontId="2" fillId="34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 wrapText="1"/>
      <protection/>
    </xf>
    <xf numFmtId="0" fontId="2" fillId="0" borderId="26" xfId="57" applyFont="1" applyBorder="1" applyAlignment="1">
      <alignment horizontal="center" vertical="center" wrapText="1"/>
      <protection/>
    </xf>
    <xf numFmtId="0" fontId="2" fillId="35" borderId="27" xfId="57" applyFont="1" applyFill="1" applyBorder="1" applyAlignment="1">
      <alignment horizontal="center" vertical="center" wrapText="1"/>
      <protection/>
    </xf>
    <xf numFmtId="0" fontId="2" fillId="0" borderId="29" xfId="57" applyBorder="1" applyAlignment="1">
      <alignment horizontal="center" vertical="center" wrapText="1"/>
      <protection/>
    </xf>
    <xf numFmtId="0" fontId="2" fillId="36" borderId="27" xfId="57" applyFont="1" applyFill="1" applyBorder="1" applyAlignment="1">
      <alignment horizontal="center" vertical="center" wrapText="1"/>
      <protection/>
    </xf>
    <xf numFmtId="0" fontId="2" fillId="37" borderId="27" xfId="57" applyFont="1" applyFill="1" applyBorder="1" applyAlignment="1">
      <alignment horizontal="center" vertical="center" wrapText="1"/>
      <protection/>
    </xf>
    <xf numFmtId="0" fontId="2" fillId="0" borderId="29" xfId="57" applyFont="1" applyBorder="1" applyAlignment="1">
      <alignment horizontal="center" vertical="center" wrapText="1"/>
      <protection/>
    </xf>
    <xf numFmtId="0" fontId="2" fillId="38" borderId="27" xfId="57" applyFont="1" applyFill="1" applyBorder="1" applyAlignment="1">
      <alignment horizontal="center" vertical="center" wrapText="1"/>
      <protection/>
    </xf>
    <xf numFmtId="0" fontId="9" fillId="34" borderId="30" xfId="57" applyFont="1" applyFill="1" applyBorder="1" applyAlignment="1">
      <alignment horizontal="center" vertical="center" wrapText="1"/>
      <protection/>
    </xf>
    <xf numFmtId="164" fontId="2" fillId="34" borderId="31" xfId="60" applyNumberFormat="1" applyFont="1" applyFill="1" applyBorder="1" applyAlignment="1">
      <alignment horizontal="center" vertical="center" wrapText="1"/>
    </xf>
    <xf numFmtId="0" fontId="9" fillId="35" borderId="30" xfId="57" applyFont="1" applyFill="1" applyBorder="1" applyAlignment="1">
      <alignment horizontal="center" vertical="center" wrapText="1"/>
      <protection/>
    </xf>
    <xf numFmtId="0" fontId="9" fillId="36" borderId="30" xfId="57" applyFont="1" applyFill="1" applyBorder="1" applyAlignment="1">
      <alignment horizontal="center" vertical="center" wrapText="1"/>
      <protection/>
    </xf>
    <xf numFmtId="0" fontId="9" fillId="37" borderId="30" xfId="57" applyFont="1" applyFill="1" applyBorder="1" applyAlignment="1">
      <alignment horizontal="center" vertical="center" wrapText="1"/>
      <protection/>
    </xf>
    <xf numFmtId="0" fontId="9" fillId="38" borderId="30" xfId="57" applyFont="1" applyFill="1" applyBorder="1" applyAlignment="1">
      <alignment horizontal="center" vertical="center" wrapText="1"/>
      <protection/>
    </xf>
    <xf numFmtId="0" fontId="9" fillId="39" borderId="30" xfId="57" applyFont="1" applyFill="1" applyBorder="1" applyAlignment="1">
      <alignment horizontal="center" vertical="center" wrapText="1"/>
      <protection/>
    </xf>
    <xf numFmtId="0" fontId="72" fillId="0" borderId="15" xfId="0" applyFont="1" applyBorder="1" applyAlignment="1">
      <alignment/>
    </xf>
    <xf numFmtId="0" fontId="72" fillId="0" borderId="18" xfId="0" applyFont="1" applyBorder="1" applyAlignment="1">
      <alignment horizontal="right"/>
    </xf>
    <xf numFmtId="0" fontId="72" fillId="0" borderId="18" xfId="0" applyFont="1" applyBorder="1" applyAlignment="1">
      <alignment/>
    </xf>
    <xf numFmtId="0" fontId="72" fillId="0" borderId="32" xfId="0" applyFont="1" applyFill="1" applyBorder="1" applyAlignment="1">
      <alignment horizontal="right"/>
    </xf>
    <xf numFmtId="9" fontId="0" fillId="0" borderId="20" xfId="0" applyNumberFormat="1" applyBorder="1" applyAlignment="1">
      <alignment/>
    </xf>
    <xf numFmtId="0" fontId="72" fillId="0" borderId="33" xfId="0" applyFont="1" applyBorder="1" applyAlignment="1">
      <alignment/>
    </xf>
    <xf numFmtId="0" fontId="75" fillId="0" borderId="19" xfId="0" applyFont="1" applyBorder="1" applyAlignment="1">
      <alignment/>
    </xf>
    <xf numFmtId="2" fontId="0" fillId="40" borderId="24" xfId="0" applyNumberFormat="1" applyFill="1" applyBorder="1" applyAlignment="1">
      <alignment/>
    </xf>
    <xf numFmtId="164" fontId="0" fillId="40" borderId="25" xfId="60" applyNumberFormat="1" applyFont="1" applyFill="1" applyBorder="1" applyAlignment="1">
      <alignment/>
    </xf>
    <xf numFmtId="2" fontId="0" fillId="40" borderId="24" xfId="60" applyNumberFormat="1" applyFont="1" applyFill="1" applyBorder="1" applyAlignment="1">
      <alignment/>
    </xf>
    <xf numFmtId="164" fontId="2" fillId="36" borderId="31" xfId="6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40" borderId="24" xfId="60" applyNumberFormat="1" applyFont="1" applyFill="1" applyBorder="1" applyAlignment="1">
      <alignment horizontal="center" vertical="center"/>
    </xf>
    <xf numFmtId="9" fontId="0" fillId="40" borderId="24" xfId="60" applyFont="1" applyFill="1" applyBorder="1" applyAlignment="1">
      <alignment horizontal="center" vertical="center"/>
    </xf>
    <xf numFmtId="164" fontId="0" fillId="40" borderId="24" xfId="60" applyNumberFormat="1" applyFont="1" applyFill="1" applyBorder="1" applyAlignment="1">
      <alignment horizontal="center"/>
    </xf>
    <xf numFmtId="164" fontId="0" fillId="40" borderId="24" xfId="0" applyNumberFormat="1" applyFill="1" applyBorder="1" applyAlignment="1">
      <alignment horizontal="center"/>
    </xf>
    <xf numFmtId="176" fontId="0" fillId="40" borderId="24" xfId="0" applyNumberFormat="1" applyFill="1" applyBorder="1" applyAlignment="1">
      <alignment/>
    </xf>
    <xf numFmtId="9" fontId="0" fillId="13" borderId="24" xfId="0" applyNumberFormat="1" applyFill="1" applyBorder="1" applyAlignment="1">
      <alignment/>
    </xf>
    <xf numFmtId="0" fontId="71" fillId="0" borderId="0" xfId="0" applyFont="1" applyAlignment="1">
      <alignment/>
    </xf>
    <xf numFmtId="0" fontId="0" fillId="0" borderId="13" xfId="0" applyBorder="1" applyAlignment="1">
      <alignment horizontal="right"/>
    </xf>
    <xf numFmtId="164" fontId="2" fillId="36" borderId="34" xfId="60" applyNumberFormat="1" applyFont="1" applyFill="1" applyBorder="1" applyAlignment="1">
      <alignment horizontal="center" vertical="center" wrapText="1"/>
    </xf>
    <xf numFmtId="0" fontId="0" fillId="13" borderId="30" xfId="0" applyFill="1" applyBorder="1" applyAlignment="1">
      <alignment/>
    </xf>
    <xf numFmtId="176" fontId="0" fillId="13" borderId="24" xfId="0" applyNumberFormat="1" applyFill="1" applyBorder="1" applyAlignment="1">
      <alignment/>
    </xf>
    <xf numFmtId="0" fontId="71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14" fillId="0" borderId="0" xfId="0" applyFont="1" applyBorder="1" applyAlignment="1">
      <alignment/>
    </xf>
    <xf numFmtId="9" fontId="0" fillId="40" borderId="24" xfId="6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64" fontId="0" fillId="13" borderId="24" xfId="0" applyNumberFormat="1" applyFill="1" applyBorder="1" applyAlignment="1">
      <alignment/>
    </xf>
    <xf numFmtId="0" fontId="0" fillId="0" borderId="18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0" xfId="0" applyFont="1" applyFill="1" applyAlignment="1">
      <alignment/>
    </xf>
    <xf numFmtId="0" fontId="44" fillId="0" borderId="0" xfId="57" applyFont="1" applyFill="1" applyBorder="1" applyAlignment="1">
      <alignment horizontal="center" vertical="center" wrapText="1"/>
      <protection/>
    </xf>
    <xf numFmtId="0" fontId="44" fillId="0" borderId="11" xfId="57" applyFont="1" applyFill="1" applyBorder="1" applyAlignment="1">
      <alignment horizontal="center" vertical="center" wrapText="1"/>
      <protection/>
    </xf>
    <xf numFmtId="0" fontId="44" fillId="0" borderId="12" xfId="57" applyFont="1" applyFill="1" applyBorder="1" applyAlignment="1">
      <alignment horizontal="center" vertical="center" wrapText="1"/>
      <protection/>
    </xf>
    <xf numFmtId="0" fontId="44" fillId="0" borderId="13" xfId="57" applyFont="1" applyFill="1" applyBorder="1" applyAlignment="1">
      <alignment horizontal="center" vertical="center" wrapText="1"/>
      <protection/>
    </xf>
    <xf numFmtId="0" fontId="44" fillId="0" borderId="14" xfId="57" applyFont="1" applyFill="1" applyBorder="1" applyAlignment="1">
      <alignment horizontal="center" vertical="center" wrapText="1"/>
      <protection/>
    </xf>
    <xf numFmtId="0" fontId="44" fillId="0" borderId="21" xfId="57" applyFont="1" applyFill="1" applyBorder="1" applyAlignment="1">
      <alignment horizontal="center" vertical="center" wrapText="1"/>
      <protection/>
    </xf>
    <xf numFmtId="0" fontId="44" fillId="0" borderId="22" xfId="57" applyFont="1" applyFill="1" applyBorder="1" applyAlignment="1">
      <alignment horizontal="center" vertical="center" wrapText="1"/>
      <protection/>
    </xf>
    <xf numFmtId="0" fontId="44" fillId="0" borderId="23" xfId="57" applyFont="1" applyFill="1" applyBorder="1" applyAlignment="1">
      <alignment horizontal="center" vertical="center" wrapText="1"/>
      <protection/>
    </xf>
    <xf numFmtId="0" fontId="44" fillId="0" borderId="10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64" fontId="2" fillId="34" borderId="35" xfId="60" applyNumberFormat="1" applyFont="1" applyFill="1" applyBorder="1" applyAlignment="1">
      <alignment horizontal="center" vertical="center" wrapText="1"/>
    </xf>
    <xf numFmtId="164" fontId="72" fillId="40" borderId="0" xfId="6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72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horizontal="center" wrapText="1"/>
    </xf>
    <xf numFmtId="9" fontId="0" fillId="0" borderId="24" xfId="0" applyNumberFormat="1" applyBorder="1" applyAlignment="1">
      <alignment horizontal="center"/>
    </xf>
    <xf numFmtId="9" fontId="0" fillId="0" borderId="24" xfId="0" applyNumberFormat="1" applyBorder="1" applyAlignment="1">
      <alignment horizontal="center" wrapText="1"/>
    </xf>
    <xf numFmtId="9" fontId="0" fillId="0" borderId="0" xfId="6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9" fontId="0" fillId="40" borderId="24" xfId="60" applyFont="1" applyFill="1" applyBorder="1" applyAlignment="1">
      <alignment/>
    </xf>
    <xf numFmtId="179" fontId="0" fillId="0" borderId="0" xfId="6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9" fontId="0" fillId="40" borderId="24" xfId="0" applyNumberFormat="1" applyFill="1" applyBorder="1" applyAlignment="1">
      <alignment/>
    </xf>
    <xf numFmtId="164" fontId="2" fillId="35" borderId="31" xfId="60" applyNumberFormat="1" applyFont="1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/>
    </xf>
    <xf numFmtId="164" fontId="0" fillId="40" borderId="24" xfId="60" applyNumberFormat="1" applyFont="1" applyFill="1" applyBorder="1" applyAlignment="1">
      <alignment horizontal="center"/>
    </xf>
    <xf numFmtId="164" fontId="2" fillId="35" borderId="35" xfId="60" applyNumberFormat="1" applyFont="1" applyFill="1" applyBorder="1" applyAlignment="1">
      <alignment horizontal="center" vertical="center" wrapText="1"/>
    </xf>
    <xf numFmtId="164" fontId="2" fillId="37" borderId="31" xfId="6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76" fillId="0" borderId="0" xfId="0" applyFont="1" applyAlignment="1">
      <alignment/>
    </xf>
    <xf numFmtId="2" fontId="0" fillId="40" borderId="31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4" fontId="0" fillId="40" borderId="24" xfId="60" applyNumberFormat="1" applyFont="1" applyFill="1" applyBorder="1" applyAlignment="1">
      <alignment/>
    </xf>
    <xf numFmtId="164" fontId="0" fillId="40" borderId="24" xfId="0" applyNumberFormat="1" applyFill="1" applyBorder="1" applyAlignment="1">
      <alignment/>
    </xf>
    <xf numFmtId="164" fontId="0" fillId="40" borderId="24" xfId="60" applyNumberFormat="1" applyFont="1" applyFill="1" applyBorder="1" applyAlignment="1">
      <alignment horizontal="center"/>
    </xf>
    <xf numFmtId="164" fontId="2" fillId="37" borderId="34" xfId="60" applyNumberFormat="1" applyFont="1" applyFill="1" applyBorder="1" applyAlignment="1">
      <alignment horizontal="center" vertical="center" wrapText="1"/>
    </xf>
    <xf numFmtId="9" fontId="0" fillId="13" borderId="24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/>
    </xf>
    <xf numFmtId="164" fontId="2" fillId="38" borderId="31" xfId="60" applyNumberFormat="1" applyFont="1" applyFill="1" applyBorder="1" applyAlignment="1">
      <alignment horizontal="center" vertical="center" wrapText="1"/>
    </xf>
    <xf numFmtId="164" fontId="0" fillId="13" borderId="24" xfId="0" applyNumberFormat="1" applyFill="1" applyBorder="1" applyAlignment="1">
      <alignment horizontal="center"/>
    </xf>
    <xf numFmtId="164" fontId="2" fillId="37" borderId="31" xfId="57" applyNumberFormat="1" applyFont="1" applyFill="1" applyBorder="1" applyAlignment="1">
      <alignment horizontal="center" vertical="center" wrapText="1"/>
      <protection/>
    </xf>
    <xf numFmtId="44" fontId="0" fillId="0" borderId="24" xfId="44" applyFont="1" applyBorder="1" applyAlignment="1">
      <alignment horizontal="center"/>
    </xf>
    <xf numFmtId="44" fontId="0" fillId="0" borderId="0" xfId="44" applyFont="1" applyBorder="1" applyAlignment="1">
      <alignment/>
    </xf>
    <xf numFmtId="44" fontId="0" fillId="0" borderId="30" xfId="44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72" fillId="0" borderId="24" xfId="0" applyFont="1" applyBorder="1" applyAlignment="1">
      <alignment/>
    </xf>
    <xf numFmtId="176" fontId="0" fillId="40" borderId="24" xfId="60" applyNumberFormat="1" applyFont="1" applyFill="1" applyBorder="1" applyAlignment="1">
      <alignment/>
    </xf>
    <xf numFmtId="164" fontId="0" fillId="13" borderId="24" xfId="60" applyNumberFormat="1" applyFont="1" applyFill="1" applyBorder="1" applyAlignment="1">
      <alignment horizontal="center"/>
    </xf>
    <xf numFmtId="2" fontId="0" fillId="13" borderId="24" xfId="0" applyNumberFormat="1" applyFill="1" applyBorder="1" applyAlignment="1">
      <alignment/>
    </xf>
    <xf numFmtId="9" fontId="0" fillId="13" borderId="24" xfId="0" applyNumberFormat="1" applyFill="1" applyBorder="1" applyAlignment="1">
      <alignment horizontal="center" wrapText="1"/>
    </xf>
    <xf numFmtId="10" fontId="0" fillId="13" borderId="24" xfId="60" applyNumberFormat="1" applyFont="1" applyFill="1" applyBorder="1" applyAlignment="1">
      <alignment horizontal="center"/>
    </xf>
    <xf numFmtId="180" fontId="0" fillId="0" borderId="0" xfId="0" applyNumberFormat="1" applyBorder="1" applyAlignment="1">
      <alignment/>
    </xf>
    <xf numFmtId="6" fontId="0" fillId="0" borderId="24" xfId="0" applyNumberFormat="1" applyBorder="1" applyAlignment="1">
      <alignment horizontal="center"/>
    </xf>
    <xf numFmtId="6" fontId="0" fillId="0" borderId="24" xfId="0" applyNumberFormat="1" applyFill="1" applyBorder="1" applyAlignment="1">
      <alignment horizontal="center"/>
    </xf>
    <xf numFmtId="9" fontId="0" fillId="13" borderId="24" xfId="0" applyNumberFormat="1" applyFill="1" applyBorder="1" applyAlignment="1">
      <alignment horizontal="center"/>
    </xf>
    <xf numFmtId="0" fontId="73" fillId="33" borderId="30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wrapText="1"/>
    </xf>
    <xf numFmtId="9" fontId="0" fillId="0" borderId="24" xfId="0" applyNumberFormat="1" applyFill="1" applyBorder="1" applyAlignment="1">
      <alignment/>
    </xf>
    <xf numFmtId="9" fontId="0" fillId="0" borderId="24" xfId="0" applyNumberFormat="1" applyBorder="1" applyAlignment="1">
      <alignment/>
    </xf>
    <xf numFmtId="10" fontId="0" fillId="13" borderId="24" xfId="0" applyNumberFormat="1" applyFill="1" applyBorder="1" applyAlignment="1">
      <alignment horizontal="center"/>
    </xf>
    <xf numFmtId="10" fontId="0" fillId="40" borderId="24" xfId="0" applyNumberFormat="1" applyFill="1" applyBorder="1" applyAlignment="1">
      <alignment/>
    </xf>
    <xf numFmtId="164" fontId="0" fillId="13" borderId="24" xfId="60" applyNumberFormat="1" applyFont="1" applyFill="1" applyBorder="1" applyAlignment="1">
      <alignment horizontal="right"/>
    </xf>
    <xf numFmtId="9" fontId="0" fillId="0" borderId="24" xfId="0" applyNumberFormat="1" applyFill="1" applyBorder="1" applyAlignment="1">
      <alignment horizontal="right"/>
    </xf>
    <xf numFmtId="9" fontId="0" fillId="0" borderId="24" xfId="0" applyNumberFormat="1" applyBorder="1" applyAlignment="1">
      <alignment horizontal="right"/>
    </xf>
    <xf numFmtId="9" fontId="0" fillId="40" borderId="24" xfId="6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9" fontId="0" fillId="13" borderId="24" xfId="60" applyFont="1" applyFill="1" applyBorder="1" applyAlignment="1">
      <alignment/>
    </xf>
    <xf numFmtId="164" fontId="2" fillId="39" borderId="31" xfId="60" applyNumberFormat="1" applyFont="1" applyFill="1" applyBorder="1" applyAlignment="1">
      <alignment horizontal="center" vertical="center" wrapText="1"/>
    </xf>
    <xf numFmtId="9" fontId="0" fillId="40" borderId="24" xfId="60" applyFont="1" applyFill="1" applyBorder="1" applyAlignment="1">
      <alignment horizontal="center"/>
    </xf>
    <xf numFmtId="164" fontId="72" fillId="0" borderId="0" xfId="60" applyNumberFormat="1" applyFont="1" applyFill="1" applyBorder="1" applyAlignment="1">
      <alignment horizontal="center"/>
    </xf>
    <xf numFmtId="0" fontId="75" fillId="0" borderId="14" xfId="0" applyFont="1" applyBorder="1" applyAlignment="1">
      <alignment horizontal="right"/>
    </xf>
    <xf numFmtId="0" fontId="75" fillId="0" borderId="14" xfId="0" applyFont="1" applyBorder="1" applyAlignment="1">
      <alignment horizontal="right"/>
    </xf>
    <xf numFmtId="164" fontId="0" fillId="13" borderId="24" xfId="60" applyNumberFormat="1" applyFont="1" applyFill="1" applyBorder="1" applyAlignment="1">
      <alignment/>
    </xf>
    <xf numFmtId="164" fontId="0" fillId="40" borderId="24" xfId="60" applyNumberFormat="1" applyFont="1" applyFill="1" applyBorder="1" applyAlignment="1">
      <alignment horizontal="center"/>
    </xf>
    <xf numFmtId="164" fontId="2" fillId="0" borderId="0" xfId="57" applyNumberFormat="1" applyFont="1">
      <alignment/>
      <protection/>
    </xf>
    <xf numFmtId="9" fontId="2" fillId="38" borderId="34" xfId="57" applyNumberFormat="1" applyFont="1" applyFill="1" applyBorder="1" applyAlignment="1">
      <alignment horizontal="center" vertical="center" wrapText="1"/>
      <protection/>
    </xf>
    <xf numFmtId="164" fontId="0" fillId="0" borderId="0" xfId="60" applyNumberFormat="1" applyFont="1" applyFill="1" applyBorder="1" applyAlignment="1">
      <alignment horizontal="center"/>
    </xf>
    <xf numFmtId="9" fontId="0" fillId="13" borderId="2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4" fontId="0" fillId="40" borderId="24" xfId="0" applyNumberFormat="1" applyFill="1" applyBorder="1" applyAlignment="1">
      <alignment horizontal="right"/>
    </xf>
    <xf numFmtId="0" fontId="0" fillId="13" borderId="24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40" borderId="24" xfId="60" applyNumberFormat="1" applyFont="1" applyFill="1" applyBorder="1" applyAlignment="1">
      <alignment horizontal="right"/>
    </xf>
    <xf numFmtId="9" fontId="0" fillId="40" borderId="24" xfId="0" applyNumberFormat="1" applyFill="1" applyBorder="1" applyAlignment="1">
      <alignment horizontal="right"/>
    </xf>
    <xf numFmtId="2" fontId="0" fillId="40" borderId="24" xfId="0" applyNumberFormat="1" applyFill="1" applyBorder="1" applyAlignment="1">
      <alignment horizontal="right"/>
    </xf>
    <xf numFmtId="176" fontId="0" fillId="13" borderId="24" xfId="0" applyNumberFormat="1" applyFill="1" applyBorder="1" applyAlignment="1">
      <alignment horizontal="right"/>
    </xf>
    <xf numFmtId="10" fontId="0" fillId="40" borderId="25" xfId="60" applyNumberFormat="1" applyFont="1" applyFill="1" applyBorder="1" applyAlignment="1" quotePrefix="1">
      <alignment/>
    </xf>
    <xf numFmtId="9" fontId="0" fillId="13" borderId="24" xfId="0" applyNumberFormat="1" applyFill="1" applyBorder="1" applyAlignment="1">
      <alignment horizontal="center"/>
    </xf>
    <xf numFmtId="0" fontId="72" fillId="0" borderId="0" xfId="0" applyFont="1" applyBorder="1" applyAlignment="1">
      <alignment horizontal="center" wrapText="1"/>
    </xf>
    <xf numFmtId="0" fontId="71" fillId="0" borderId="19" xfId="0" applyFont="1" applyBorder="1" applyAlignment="1">
      <alignment/>
    </xf>
    <xf numFmtId="0" fontId="71" fillId="0" borderId="14" xfId="0" applyFont="1" applyBorder="1" applyAlignment="1">
      <alignment/>
    </xf>
    <xf numFmtId="9" fontId="0" fillId="40" borderId="24" xfId="60" applyFont="1" applyFill="1" applyBorder="1" applyAlignment="1">
      <alignment/>
    </xf>
    <xf numFmtId="9" fontId="0" fillId="0" borderId="0" xfId="0" applyNumberFormat="1" applyAlignment="1">
      <alignment/>
    </xf>
    <xf numFmtId="182" fontId="0" fillId="40" borderId="24" xfId="42" applyNumberFormat="1" applyFont="1" applyFill="1" applyBorder="1" applyAlignment="1">
      <alignment horizontal="center" vertical="center"/>
    </xf>
    <xf numFmtId="164" fontId="11" fillId="33" borderId="0" xfId="60" applyNumberFormat="1" applyFont="1" applyFill="1" applyBorder="1" applyAlignment="1">
      <alignment horizontal="center" vertical="center" wrapText="1"/>
    </xf>
    <xf numFmtId="164" fontId="11" fillId="33" borderId="18" xfId="60" applyNumberFormat="1" applyFont="1" applyFill="1" applyBorder="1" applyAlignment="1">
      <alignment horizontal="center" vertical="center" wrapText="1"/>
    </xf>
    <xf numFmtId="164" fontId="11" fillId="33" borderId="19" xfId="60" applyNumberFormat="1" applyFont="1" applyFill="1" applyBorder="1" applyAlignment="1">
      <alignment horizontal="center" vertical="center" wrapText="1"/>
    </xf>
    <xf numFmtId="0" fontId="73" fillId="33" borderId="36" xfId="57" applyFont="1" applyFill="1" applyBorder="1" applyAlignment="1">
      <alignment horizontal="center" vertical="center" wrapText="1"/>
      <protection/>
    </xf>
    <xf numFmtId="164" fontId="73" fillId="33" borderId="36" xfId="60" applyNumberFormat="1" applyFont="1" applyFill="1" applyBorder="1" applyAlignment="1">
      <alignment horizontal="center" vertical="center" wrapText="1"/>
    </xf>
    <xf numFmtId="3" fontId="77" fillId="33" borderId="31" xfId="60" applyNumberFormat="1" applyFont="1" applyFill="1" applyBorder="1" applyAlignment="1">
      <alignment horizontal="center" vertical="center" wrapText="1"/>
    </xf>
    <xf numFmtId="3" fontId="0" fillId="40" borderId="24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9" fontId="0" fillId="13" borderId="24" xfId="60" applyFont="1" applyFill="1" applyBorder="1" applyAlignment="1">
      <alignment horizontal="center"/>
    </xf>
    <xf numFmtId="9" fontId="72" fillId="40" borderId="24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right" vertical="center"/>
    </xf>
    <xf numFmtId="164" fontId="0" fillId="0" borderId="0" xfId="0" applyNumberFormat="1" applyAlignment="1">
      <alignment/>
    </xf>
    <xf numFmtId="0" fontId="72" fillId="0" borderId="14" xfId="0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9" fontId="0" fillId="13" borderId="24" xfId="60" applyNumberFormat="1" applyFont="1" applyFill="1" applyBorder="1" applyAlignment="1">
      <alignment horizontal="center"/>
    </xf>
    <xf numFmtId="0" fontId="71" fillId="0" borderId="0" xfId="0" applyFont="1" applyFill="1" applyAlignment="1">
      <alignment/>
    </xf>
    <xf numFmtId="0" fontId="78" fillId="0" borderId="19" xfId="53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187" fontId="0" fillId="40" borderId="24" xfId="44" applyNumberFormat="1" applyFont="1" applyFill="1" applyBorder="1" applyAlignment="1">
      <alignment/>
    </xf>
    <xf numFmtId="9" fontId="0" fillId="40" borderId="24" xfId="60" applyFont="1" applyFill="1" applyBorder="1" applyAlignment="1">
      <alignment/>
    </xf>
    <xf numFmtId="2" fontId="0" fillId="13" borderId="24" xfId="0" applyNumberFormat="1" applyFill="1" applyBorder="1" applyAlignment="1">
      <alignment horizontal="center"/>
    </xf>
    <xf numFmtId="2" fontId="0" fillId="13" borderId="24" xfId="60" applyNumberFormat="1" applyFont="1" applyFill="1" applyBorder="1" applyAlignment="1">
      <alignment/>
    </xf>
    <xf numFmtId="0" fontId="14" fillId="13" borderId="30" xfId="57" applyFont="1" applyFill="1" applyBorder="1" applyAlignment="1" applyProtection="1">
      <alignment horizontal="center" vertical="center" wrapText="1"/>
      <protection locked="0"/>
    </xf>
    <xf numFmtId="182" fontId="14" fillId="13" borderId="24" xfId="42" applyNumberFormat="1" applyFont="1" applyFill="1" applyBorder="1" applyAlignment="1" applyProtection="1">
      <alignment vertical="center" wrapText="1"/>
      <protection locked="0"/>
    </xf>
    <xf numFmtId="0" fontId="0" fillId="13" borderId="24" xfId="0" applyFill="1" applyBorder="1" applyAlignment="1" applyProtection="1">
      <alignment horizontal="right"/>
      <protection locked="0"/>
    </xf>
    <xf numFmtId="0" fontId="0" fillId="13" borderId="24" xfId="0" applyFill="1" applyBorder="1" applyAlignment="1" applyProtection="1">
      <alignment/>
      <protection locked="0"/>
    </xf>
    <xf numFmtId="9" fontId="0" fillId="13" borderId="24" xfId="60" applyFont="1" applyFill="1" applyBorder="1" applyAlignment="1" applyProtection="1">
      <alignment/>
      <protection locked="0"/>
    </xf>
    <xf numFmtId="9" fontId="0" fillId="13" borderId="24" xfId="60" applyFont="1" applyFill="1" applyBorder="1" applyAlignment="1" applyProtection="1">
      <alignment/>
      <protection locked="0"/>
    </xf>
    <xf numFmtId="0" fontId="0" fillId="13" borderId="30" xfId="0" applyFill="1" applyBorder="1" applyAlignment="1" applyProtection="1">
      <alignment horizontal="right"/>
      <protection locked="0"/>
    </xf>
    <xf numFmtId="187" fontId="0" fillId="13" borderId="24" xfId="44" applyNumberFormat="1" applyFont="1" applyFill="1" applyBorder="1" applyAlignment="1" applyProtection="1">
      <alignment/>
      <protection locked="0"/>
    </xf>
    <xf numFmtId="9" fontId="0" fillId="13" borderId="24" xfId="0" applyNumberFormat="1" applyFill="1" applyBorder="1" applyAlignment="1" applyProtection="1">
      <alignment/>
      <protection locked="0"/>
    </xf>
    <xf numFmtId="9" fontId="0" fillId="13" borderId="30" xfId="0" applyNumberFormat="1" applyFill="1" applyBorder="1" applyAlignment="1" applyProtection="1">
      <alignment/>
      <protection locked="0"/>
    </xf>
    <xf numFmtId="44" fontId="0" fillId="13" borderId="24" xfId="44" applyFont="1" applyFill="1" applyBorder="1" applyAlignment="1" applyProtection="1">
      <alignment/>
      <protection locked="0"/>
    </xf>
    <xf numFmtId="9" fontId="0" fillId="13" borderId="24" xfId="0" applyNumberFormat="1" applyFill="1" applyBorder="1" applyAlignment="1" applyProtection="1">
      <alignment horizontal="right"/>
      <protection locked="0"/>
    </xf>
    <xf numFmtId="0" fontId="0" fillId="0" borderId="37" xfId="0" applyBorder="1" applyAlignment="1">
      <alignment wrapText="1"/>
    </xf>
    <xf numFmtId="0" fontId="0" fillId="0" borderId="18" xfId="0" applyBorder="1" applyAlignment="1">
      <alignment horizontal="center"/>
    </xf>
    <xf numFmtId="9" fontId="0" fillId="0" borderId="18" xfId="60" applyFont="1" applyBorder="1" applyAlignment="1">
      <alignment horizontal="center"/>
    </xf>
    <xf numFmtId="164" fontId="0" fillId="0" borderId="37" xfId="60" applyNumberFormat="1" applyFont="1" applyBorder="1" applyAlignment="1">
      <alignment horizontal="center" wrapText="1"/>
    </xf>
    <xf numFmtId="0" fontId="79" fillId="0" borderId="19" xfId="0" applyFont="1" applyFill="1" applyBorder="1" applyAlignment="1">
      <alignment/>
    </xf>
    <xf numFmtId="0" fontId="79" fillId="0" borderId="0" xfId="0" applyFont="1" applyBorder="1" applyAlignment="1">
      <alignment/>
    </xf>
    <xf numFmtId="164" fontId="0" fillId="40" borderId="25" xfId="60" applyNumberFormat="1" applyFont="1" applyFill="1" applyBorder="1" applyAlignment="1" applyProtection="1">
      <alignment/>
      <protection/>
    </xf>
    <xf numFmtId="9" fontId="0" fillId="40" borderId="24" xfId="60" applyFont="1" applyFill="1" applyBorder="1" applyAlignment="1" applyProtection="1">
      <alignment/>
      <protection/>
    </xf>
    <xf numFmtId="176" fontId="0" fillId="40" borderId="24" xfId="0" applyNumberFormat="1" applyFill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3" borderId="24" xfId="0" applyFill="1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0" fontId="0" fillId="41" borderId="2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72" fillId="0" borderId="15" xfId="0" applyFont="1" applyBorder="1" applyAlignment="1" applyProtection="1">
      <alignment/>
      <protection/>
    </xf>
    <xf numFmtId="0" fontId="72" fillId="0" borderId="18" xfId="0" applyFont="1" applyBorder="1" applyAlignment="1" applyProtection="1">
      <alignment/>
      <protection/>
    </xf>
    <xf numFmtId="0" fontId="72" fillId="0" borderId="18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71" fillId="0" borderId="0" xfId="0" applyFont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2" fontId="0" fillId="13" borderId="24" xfId="0" applyNumberFormat="1" applyFill="1" applyBorder="1" applyAlignment="1" applyProtection="1">
      <alignment/>
      <protection/>
    </xf>
    <xf numFmtId="0" fontId="75" fillId="0" borderId="19" xfId="0" applyFont="1" applyBorder="1" applyAlignment="1" applyProtection="1">
      <alignment/>
      <protection/>
    </xf>
    <xf numFmtId="0" fontId="72" fillId="0" borderId="32" xfId="0" applyFont="1" applyFill="1" applyBorder="1" applyAlignment="1" applyProtection="1">
      <alignment horizontal="right"/>
      <protection/>
    </xf>
    <xf numFmtId="9" fontId="0" fillId="0" borderId="20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72" fillId="0" borderId="33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" fontId="0" fillId="40" borderId="24" xfId="0" applyNumberForma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81" fillId="0" borderId="0" xfId="0" applyFont="1" applyAlignment="1" applyProtection="1">
      <alignment horizontal="center"/>
      <protection/>
    </xf>
    <xf numFmtId="0" fontId="81" fillId="0" borderId="0" xfId="0" applyFont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right"/>
      <protection/>
    </xf>
    <xf numFmtId="164" fontId="0" fillId="40" borderId="24" xfId="60" applyNumberFormat="1" applyFont="1" applyFill="1" applyBorder="1" applyAlignment="1" applyProtection="1">
      <alignment horizontal="center"/>
      <protection/>
    </xf>
    <xf numFmtId="2" fontId="0" fillId="40" borderId="24" xfId="0" applyNumberFormat="1" applyFill="1" applyBorder="1" applyAlignment="1" applyProtection="1">
      <alignment horizontal="center"/>
      <protection/>
    </xf>
    <xf numFmtId="0" fontId="72" fillId="0" borderId="0" xfId="0" applyFont="1" applyAlignment="1" applyProtection="1">
      <alignment/>
      <protection/>
    </xf>
    <xf numFmtId="2" fontId="0" fillId="40" borderId="24" xfId="6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wrapText="1"/>
      <protection/>
    </xf>
    <xf numFmtId="164" fontId="0" fillId="40" borderId="24" xfId="60" applyNumberFormat="1" applyFont="1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4" xfId="0" applyBorder="1" applyAlignment="1" applyProtection="1" quotePrefix="1">
      <alignment horizontal="left"/>
      <protection/>
    </xf>
    <xf numFmtId="176" fontId="0" fillId="0" borderId="24" xfId="0" applyNumberFormat="1" applyFill="1" applyBorder="1" applyAlignment="1" applyProtection="1">
      <alignment/>
      <protection/>
    </xf>
    <xf numFmtId="2" fontId="0" fillId="40" borderId="24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right"/>
      <protection/>
    </xf>
    <xf numFmtId="0" fontId="0" fillId="0" borderId="24" xfId="0" applyBorder="1" applyAlignment="1">
      <alignment horizontal="center"/>
    </xf>
    <xf numFmtId="0" fontId="82" fillId="0" borderId="0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Fill="1" applyBorder="1" applyAlignment="1" applyProtection="1">
      <alignment horizontal="right"/>
      <protection locked="0"/>
    </xf>
    <xf numFmtId="0" fontId="79" fillId="0" borderId="0" xfId="0" applyFont="1" applyFill="1" applyBorder="1" applyAlignment="1">
      <alignment/>
    </xf>
    <xf numFmtId="164" fontId="0" fillId="0" borderId="24" xfId="60" applyNumberFormat="1" applyFont="1" applyBorder="1" applyAlignment="1">
      <alignment horizontal="center" wrapText="1"/>
    </xf>
    <xf numFmtId="0" fontId="0" fillId="0" borderId="33" xfId="0" applyBorder="1" applyAlignment="1" applyProtection="1">
      <alignment/>
      <protection/>
    </xf>
    <xf numFmtId="164" fontId="0" fillId="0" borderId="0" xfId="60" applyNumberFormat="1" applyFont="1" applyFill="1" applyBorder="1" applyAlignment="1" applyProtection="1">
      <alignment/>
      <protection/>
    </xf>
    <xf numFmtId="164" fontId="0" fillId="0" borderId="32" xfId="60" applyNumberFormat="1" applyFont="1" applyFill="1" applyBorder="1" applyAlignment="1" applyProtection="1">
      <alignment/>
      <protection/>
    </xf>
    <xf numFmtId="164" fontId="72" fillId="0" borderId="18" xfId="60" applyNumberFormat="1" applyFont="1" applyFill="1" applyBorder="1" applyAlignment="1" applyProtection="1">
      <alignment/>
      <protection/>
    </xf>
    <xf numFmtId="164" fontId="0" fillId="0" borderId="18" xfId="60" applyNumberFormat="1" applyFont="1" applyFill="1" applyBorder="1" applyAlignment="1" applyProtection="1">
      <alignment horizontal="right"/>
      <protection/>
    </xf>
    <xf numFmtId="12" fontId="0" fillId="13" borderId="24" xfId="60" applyNumberFormat="1" applyFont="1" applyFill="1" applyBorder="1" applyAlignment="1">
      <alignment/>
    </xf>
    <xf numFmtId="0" fontId="83" fillId="0" borderId="0" xfId="0" applyFont="1" applyBorder="1" applyAlignment="1">
      <alignment/>
    </xf>
    <xf numFmtId="9" fontId="14" fillId="13" borderId="24" xfId="60" applyFont="1" applyFill="1" applyBorder="1" applyAlignment="1" applyProtection="1">
      <alignment vertical="center" wrapText="1"/>
      <protection locked="0"/>
    </xf>
    <xf numFmtId="0" fontId="14" fillId="39" borderId="37" xfId="57" applyFont="1" applyFill="1" applyBorder="1" applyAlignment="1">
      <alignment horizontal="left" vertical="center" wrapText="1"/>
      <protection/>
    </xf>
    <xf numFmtId="0" fontId="14" fillId="39" borderId="38" xfId="57" applyFont="1" applyFill="1" applyBorder="1" applyAlignment="1">
      <alignment horizontal="left" vertical="center" wrapText="1"/>
      <protection/>
    </xf>
    <xf numFmtId="0" fontId="14" fillId="39" borderId="39" xfId="57" applyFont="1" applyFill="1" applyBorder="1" applyAlignment="1">
      <alignment horizontal="left" vertical="center" wrapText="1"/>
      <protection/>
    </xf>
    <xf numFmtId="0" fontId="14" fillId="38" borderId="37" xfId="57" applyFont="1" applyFill="1" applyBorder="1" applyAlignment="1">
      <alignment horizontal="left" vertical="center" wrapText="1"/>
      <protection/>
    </xf>
    <xf numFmtId="0" fontId="14" fillId="38" borderId="38" xfId="57" applyFont="1" applyFill="1" applyBorder="1" applyAlignment="1">
      <alignment horizontal="left" vertical="center" wrapText="1"/>
      <protection/>
    </xf>
    <xf numFmtId="0" fontId="14" fillId="38" borderId="39" xfId="57" applyFont="1" applyFill="1" applyBorder="1" applyAlignment="1">
      <alignment horizontal="left" vertical="center" wrapText="1"/>
      <protection/>
    </xf>
    <xf numFmtId="0" fontId="0" fillId="13" borderId="37" xfId="0" applyFill="1" applyBorder="1" applyAlignment="1" applyProtection="1">
      <alignment horizontal="center"/>
      <protection locked="0"/>
    </xf>
    <xf numFmtId="0" fontId="0" fillId="13" borderId="38" xfId="0" applyFill="1" applyBorder="1" applyAlignment="1" applyProtection="1">
      <alignment horizontal="center"/>
      <protection locked="0"/>
    </xf>
    <xf numFmtId="0" fontId="0" fillId="13" borderId="39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4" fillId="35" borderId="37" xfId="57" applyFont="1" applyFill="1" applyBorder="1" applyAlignment="1">
      <alignment horizontal="left" vertical="center" wrapText="1"/>
      <protection/>
    </xf>
    <xf numFmtId="0" fontId="14" fillId="35" borderId="38" xfId="57" applyFont="1" applyFill="1" applyBorder="1" applyAlignment="1">
      <alignment horizontal="left" vertical="center" wrapText="1"/>
      <protection/>
    </xf>
    <xf numFmtId="0" fontId="14" fillId="35" borderId="39" xfId="57" applyFont="1" applyFill="1" applyBorder="1" applyAlignment="1">
      <alignment horizontal="left" vertical="center" wrapText="1"/>
      <protection/>
    </xf>
    <xf numFmtId="0" fontId="52" fillId="38" borderId="40" xfId="57" applyFont="1" applyFill="1" applyBorder="1" applyAlignment="1">
      <alignment horizontal="center" vertical="center" wrapText="1"/>
      <protection/>
    </xf>
    <xf numFmtId="0" fontId="52" fillId="38" borderId="41" xfId="57" applyFont="1" applyFill="1" applyBorder="1" applyAlignment="1">
      <alignment horizontal="center" vertical="center" wrapText="1"/>
      <protection/>
    </xf>
    <xf numFmtId="0" fontId="52" fillId="38" borderId="42" xfId="57" applyFont="1" applyFill="1" applyBorder="1" applyAlignment="1">
      <alignment horizontal="center" vertical="center" wrapText="1"/>
      <protection/>
    </xf>
    <xf numFmtId="0" fontId="52" fillId="35" borderId="40" xfId="57" applyFont="1" applyFill="1" applyBorder="1" applyAlignment="1">
      <alignment horizontal="center" vertical="center" wrapText="1"/>
      <protection/>
    </xf>
    <xf numFmtId="0" fontId="52" fillId="35" borderId="41" xfId="57" applyFont="1" applyFill="1" applyBorder="1" applyAlignment="1">
      <alignment horizontal="center" vertical="center" wrapText="1"/>
      <protection/>
    </xf>
    <xf numFmtId="0" fontId="52" fillId="35" borderId="42" xfId="57" applyFont="1" applyFill="1" applyBorder="1" applyAlignment="1">
      <alignment horizontal="center" vertical="center" wrapText="1"/>
      <protection/>
    </xf>
    <xf numFmtId="0" fontId="14" fillId="36" borderId="37" xfId="57" applyFont="1" applyFill="1" applyBorder="1" applyAlignment="1">
      <alignment horizontal="left" vertical="center" wrapText="1"/>
      <protection/>
    </xf>
    <xf numFmtId="0" fontId="14" fillId="36" borderId="38" xfId="57" applyFont="1" applyFill="1" applyBorder="1" applyAlignment="1">
      <alignment horizontal="left" vertical="center" wrapText="1"/>
      <protection/>
    </xf>
    <xf numFmtId="0" fontId="14" fillId="36" borderId="39" xfId="57" applyFont="1" applyFill="1" applyBorder="1" applyAlignment="1">
      <alignment horizontal="left" vertical="center" wrapText="1"/>
      <protection/>
    </xf>
    <xf numFmtId="0" fontId="14" fillId="37" borderId="24" xfId="57" applyFont="1" applyFill="1" applyBorder="1" applyAlignment="1">
      <alignment horizontal="left" vertical="center" wrapText="1"/>
      <protection/>
    </xf>
    <xf numFmtId="0" fontId="52" fillId="37" borderId="40" xfId="57" applyFont="1" applyFill="1" applyBorder="1" applyAlignment="1">
      <alignment horizontal="center" vertical="center" wrapText="1"/>
      <protection/>
    </xf>
    <xf numFmtId="0" fontId="52" fillId="37" borderId="41" xfId="57" applyFont="1" applyFill="1" applyBorder="1" applyAlignment="1">
      <alignment horizontal="center" vertical="center" wrapText="1"/>
      <protection/>
    </xf>
    <xf numFmtId="0" fontId="52" fillId="37" borderId="42" xfId="57" applyFont="1" applyFill="1" applyBorder="1" applyAlignment="1">
      <alignment horizontal="center" vertical="center" wrapText="1"/>
      <protection/>
    </xf>
    <xf numFmtId="0" fontId="51" fillId="33" borderId="40" xfId="57" applyFont="1" applyFill="1" applyBorder="1" applyAlignment="1">
      <alignment horizontal="center" vertical="center" wrapText="1"/>
      <protection/>
    </xf>
    <xf numFmtId="0" fontId="51" fillId="33" borderId="41" xfId="57" applyFont="1" applyFill="1" applyBorder="1" applyAlignment="1">
      <alignment horizontal="center" vertical="center" wrapText="1"/>
      <protection/>
    </xf>
    <xf numFmtId="0" fontId="51" fillId="33" borderId="42" xfId="57" applyFont="1" applyFill="1" applyBorder="1" applyAlignment="1">
      <alignment horizontal="center" vertical="center" wrapText="1"/>
      <protection/>
    </xf>
    <xf numFmtId="0" fontId="52" fillId="34" borderId="40" xfId="57" applyFont="1" applyFill="1" applyBorder="1" applyAlignment="1">
      <alignment horizontal="center" vertical="center" wrapText="1"/>
      <protection/>
    </xf>
    <xf numFmtId="0" fontId="52" fillId="34" borderId="41" xfId="57" applyFont="1" applyFill="1" applyBorder="1" applyAlignment="1">
      <alignment horizontal="center" vertical="center" wrapText="1"/>
      <protection/>
    </xf>
    <xf numFmtId="0" fontId="52" fillId="34" borderId="42" xfId="57" applyFont="1" applyFill="1" applyBorder="1" applyAlignment="1">
      <alignment horizontal="center" vertical="center" wrapText="1"/>
      <protection/>
    </xf>
    <xf numFmtId="0" fontId="52" fillId="36" borderId="40" xfId="57" applyFont="1" applyFill="1" applyBorder="1" applyAlignment="1">
      <alignment horizontal="center" vertical="center" wrapText="1"/>
      <protection/>
    </xf>
    <xf numFmtId="0" fontId="52" fillId="36" borderId="41" xfId="57" applyFont="1" applyFill="1" applyBorder="1" applyAlignment="1">
      <alignment horizontal="center" vertical="center" wrapText="1"/>
      <protection/>
    </xf>
    <xf numFmtId="0" fontId="52" fillId="36" borderId="42" xfId="57" applyFont="1" applyFill="1" applyBorder="1" applyAlignment="1">
      <alignment horizontal="center" vertical="center" wrapText="1"/>
      <protection/>
    </xf>
    <xf numFmtId="0" fontId="0" fillId="42" borderId="37" xfId="0" applyFill="1" applyBorder="1" applyAlignment="1">
      <alignment horizontal="left"/>
    </xf>
    <xf numFmtId="0" fontId="0" fillId="42" borderId="38" xfId="0" applyFill="1" applyBorder="1" applyAlignment="1">
      <alignment horizontal="left"/>
    </xf>
    <xf numFmtId="0" fontId="0" fillId="42" borderId="39" xfId="0" applyFill="1" applyBorder="1" applyAlignment="1">
      <alignment horizontal="left"/>
    </xf>
    <xf numFmtId="0" fontId="0" fillId="0" borderId="19" xfId="0" applyBorder="1" applyAlignment="1">
      <alignment horizontal="left" wrapText="1"/>
    </xf>
    <xf numFmtId="0" fontId="82" fillId="0" borderId="0" xfId="0" applyFont="1" applyBorder="1" applyAlignment="1">
      <alignment horizontal="left" wrapText="1"/>
    </xf>
    <xf numFmtId="0" fontId="0" fillId="13" borderId="24" xfId="0" applyFill="1" applyBorder="1" applyAlignment="1" applyProtection="1">
      <alignment horizontal="center"/>
      <protection locked="0"/>
    </xf>
    <xf numFmtId="0" fontId="0" fillId="13" borderId="24" xfId="0" applyFill="1" applyBorder="1" applyAlignment="1" applyProtection="1">
      <alignment horizontal="center" wrapText="1"/>
      <protection locked="0"/>
    </xf>
    <xf numFmtId="9" fontId="0" fillId="13" borderId="37" xfId="0" applyNumberFormat="1" applyFill="1" applyBorder="1" applyAlignment="1" applyProtection="1">
      <alignment horizontal="center"/>
      <protection locked="0"/>
    </xf>
    <xf numFmtId="9" fontId="0" fillId="13" borderId="38" xfId="0" applyNumberFormat="1" applyFill="1" applyBorder="1" applyAlignment="1" applyProtection="1">
      <alignment horizontal="center"/>
      <protection locked="0"/>
    </xf>
    <xf numFmtId="9" fontId="0" fillId="13" borderId="39" xfId="0" applyNumberFormat="1" applyFill="1" applyBorder="1" applyAlignment="1" applyProtection="1">
      <alignment horizontal="center"/>
      <protection locked="0"/>
    </xf>
    <xf numFmtId="9" fontId="0" fillId="13" borderId="24" xfId="0" applyNumberFormat="1" applyFill="1" applyBorder="1" applyAlignment="1" applyProtection="1">
      <alignment horizontal="center"/>
      <protection locked="0"/>
    </xf>
    <xf numFmtId="0" fontId="11" fillId="33" borderId="15" xfId="57" applyFont="1" applyFill="1" applyBorder="1" applyAlignment="1">
      <alignment horizontal="center" vertical="center" wrapText="1"/>
      <protection/>
    </xf>
    <xf numFmtId="0" fontId="11" fillId="33" borderId="16" xfId="57" applyFont="1" applyFill="1" applyBorder="1" applyAlignment="1">
      <alignment horizontal="center" vertical="center" wrapText="1"/>
      <protection/>
    </xf>
    <xf numFmtId="0" fontId="11" fillId="33" borderId="17" xfId="57" applyFont="1" applyFill="1" applyBorder="1" applyAlignment="1">
      <alignment horizontal="center" vertical="center" wrapText="1"/>
      <protection/>
    </xf>
    <xf numFmtId="3" fontId="11" fillId="33" borderId="32" xfId="60" applyNumberFormat="1" applyFont="1" applyFill="1" applyBorder="1" applyAlignment="1">
      <alignment horizontal="center" vertical="center" wrapText="1"/>
    </xf>
    <xf numFmtId="3" fontId="11" fillId="33" borderId="20" xfId="60" applyNumberFormat="1" applyFont="1" applyFill="1" applyBorder="1" applyAlignment="1">
      <alignment horizontal="center" vertical="center" wrapText="1"/>
    </xf>
    <xf numFmtId="3" fontId="11" fillId="33" borderId="33" xfId="60" applyNumberFormat="1" applyFont="1" applyFill="1" applyBorder="1" applyAlignment="1">
      <alignment horizontal="center" vertical="center" wrapText="1"/>
    </xf>
    <xf numFmtId="164" fontId="11" fillId="33" borderId="18" xfId="60" applyNumberFormat="1" applyFont="1" applyFill="1" applyBorder="1" applyAlignment="1">
      <alignment horizontal="center" vertical="center" wrapText="1"/>
    </xf>
    <xf numFmtId="164" fontId="11" fillId="33" borderId="0" xfId="60" applyNumberFormat="1" applyFont="1" applyFill="1" applyBorder="1" applyAlignment="1">
      <alignment horizontal="center" vertical="center" wrapText="1"/>
    </xf>
    <xf numFmtId="164" fontId="11" fillId="33" borderId="19" xfId="60" applyNumberFormat="1" applyFont="1" applyFill="1" applyBorder="1" applyAlignment="1">
      <alignment horizontal="center" vertical="center" wrapText="1"/>
    </xf>
    <xf numFmtId="0" fontId="11" fillId="33" borderId="18" xfId="57" applyFont="1" applyFill="1" applyBorder="1" applyAlignment="1">
      <alignment horizontal="center" vertical="center" wrapText="1"/>
      <protection/>
    </xf>
    <xf numFmtId="0" fontId="11" fillId="33" borderId="0" xfId="57" applyFont="1" applyFill="1" applyBorder="1" applyAlignment="1">
      <alignment horizontal="center" vertical="center" wrapText="1"/>
      <protection/>
    </xf>
    <xf numFmtId="0" fontId="11" fillId="33" borderId="19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2" fillId="16" borderId="40" xfId="57" applyFont="1" applyFill="1" applyBorder="1" applyAlignment="1">
      <alignment horizontal="center" vertical="center" wrapText="1"/>
      <protection/>
    </xf>
    <xf numFmtId="0" fontId="52" fillId="16" borderId="41" xfId="57" applyFont="1" applyFill="1" applyBorder="1" applyAlignment="1">
      <alignment horizontal="center" vertical="center" wrapText="1"/>
      <protection/>
    </xf>
    <xf numFmtId="0" fontId="52" fillId="16" borderId="42" xfId="57" applyFont="1" applyFill="1" applyBorder="1" applyAlignment="1">
      <alignment horizontal="center" vertical="center" wrapText="1"/>
      <protection/>
    </xf>
    <xf numFmtId="0" fontId="72" fillId="0" borderId="15" xfId="0" applyFont="1" applyBorder="1" applyAlignment="1" quotePrefix="1">
      <alignment horizontal="center" vertical="center" wrapText="1"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15" xfId="0" applyFont="1" applyBorder="1" applyAlignment="1" quotePrefix="1">
      <alignment horizontal="center" wrapText="1"/>
    </xf>
    <xf numFmtId="0" fontId="72" fillId="0" borderId="16" xfId="0" applyFont="1" applyBorder="1" applyAlignment="1">
      <alignment horizontal="center" wrapText="1"/>
    </xf>
    <xf numFmtId="0" fontId="72" fillId="0" borderId="17" xfId="0" applyFont="1" applyBorder="1" applyAlignment="1">
      <alignment horizontal="center" wrapText="1"/>
    </xf>
    <xf numFmtId="0" fontId="72" fillId="0" borderId="18" xfId="0" applyFont="1" applyBorder="1" applyAlignment="1" quotePrefix="1">
      <alignment horizontal="center" wrapText="1"/>
    </xf>
    <xf numFmtId="0" fontId="72" fillId="0" borderId="0" xfId="0" applyFont="1" applyBorder="1" applyAlignment="1">
      <alignment horizontal="center" wrapText="1"/>
    </xf>
    <xf numFmtId="0" fontId="72" fillId="0" borderId="19" xfId="0" applyFont="1" applyBorder="1" applyAlignment="1">
      <alignment horizontal="center" wrapText="1"/>
    </xf>
    <xf numFmtId="0" fontId="72" fillId="0" borderId="32" xfId="0" applyFont="1" applyBorder="1" applyAlignment="1">
      <alignment horizontal="center" wrapText="1"/>
    </xf>
    <xf numFmtId="0" fontId="72" fillId="0" borderId="20" xfId="0" applyFont="1" applyBorder="1" applyAlignment="1">
      <alignment horizontal="center" wrapText="1"/>
    </xf>
    <xf numFmtId="0" fontId="72" fillId="0" borderId="33" xfId="0" applyFont="1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2" fillId="34" borderId="40" xfId="57" applyFont="1" applyFill="1" applyBorder="1" applyAlignment="1" applyProtection="1">
      <alignment horizontal="center" vertical="center" wrapText="1"/>
      <protection/>
    </xf>
    <xf numFmtId="0" fontId="52" fillId="34" borderId="41" xfId="57" applyFont="1" applyFill="1" applyBorder="1" applyAlignment="1" applyProtection="1">
      <alignment horizontal="center" vertical="center" wrapText="1"/>
      <protection/>
    </xf>
    <xf numFmtId="0" fontId="52" fillId="34" borderId="42" xfId="57" applyFont="1" applyFill="1" applyBorder="1" applyAlignment="1" applyProtection="1">
      <alignment horizontal="center" vertical="center" wrapText="1"/>
      <protection/>
    </xf>
    <xf numFmtId="0" fontId="0" fillId="42" borderId="37" xfId="0" applyFill="1" applyBorder="1" applyAlignment="1" applyProtection="1">
      <alignment horizontal="left"/>
      <protection/>
    </xf>
    <xf numFmtId="0" fontId="0" fillId="42" borderId="38" xfId="0" applyFill="1" applyBorder="1" applyAlignment="1" applyProtection="1">
      <alignment horizontal="left"/>
      <protection/>
    </xf>
    <xf numFmtId="0" fontId="0" fillId="42" borderId="39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left" wrapText="1"/>
      <protection/>
    </xf>
    <xf numFmtId="164" fontId="72" fillId="0" borderId="15" xfId="60" applyNumberFormat="1" applyFont="1" applyFill="1" applyBorder="1" applyAlignment="1" applyProtection="1">
      <alignment horizontal="left" wrapText="1"/>
      <protection/>
    </xf>
    <xf numFmtId="164" fontId="72" fillId="0" borderId="16" xfId="60" applyNumberFormat="1" applyFont="1" applyFill="1" applyBorder="1" applyAlignment="1" applyProtection="1">
      <alignment horizontal="left" wrapText="1"/>
      <protection/>
    </xf>
    <xf numFmtId="164" fontId="72" fillId="0" borderId="17" xfId="60" applyNumberFormat="1" applyFont="1" applyFill="1" applyBorder="1" applyAlignment="1" applyProtection="1">
      <alignment horizontal="left" wrapText="1"/>
      <protection/>
    </xf>
    <xf numFmtId="0" fontId="0" fillId="0" borderId="24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72" fillId="0" borderId="15" xfId="0" applyFont="1" applyBorder="1" applyAlignment="1">
      <alignment horizontal="left" wrapText="1"/>
    </xf>
    <xf numFmtId="0" fontId="72" fillId="0" borderId="16" xfId="0" applyFont="1" applyBorder="1" applyAlignment="1">
      <alignment horizontal="left" wrapText="1"/>
    </xf>
    <xf numFmtId="0" fontId="72" fillId="0" borderId="17" xfId="0" applyFont="1" applyBorder="1" applyAlignment="1">
      <alignment horizontal="left" wrapText="1"/>
    </xf>
    <xf numFmtId="0" fontId="72" fillId="0" borderId="18" xfId="0" applyFont="1" applyBorder="1" applyAlignment="1">
      <alignment horizontal="left" wrapText="1"/>
    </xf>
    <xf numFmtId="0" fontId="72" fillId="0" borderId="0" xfId="0" applyFont="1" applyBorder="1" applyAlignment="1">
      <alignment horizontal="left" wrapText="1"/>
    </xf>
    <xf numFmtId="0" fontId="72" fillId="0" borderId="19" xfId="0" applyFont="1" applyBorder="1" applyAlignment="1">
      <alignment horizontal="left" wrapText="1"/>
    </xf>
    <xf numFmtId="9" fontId="0" fillId="40" borderId="37" xfId="60" applyFont="1" applyFill="1" applyBorder="1" applyAlignment="1">
      <alignment horizontal="center"/>
    </xf>
    <xf numFmtId="9" fontId="0" fillId="40" borderId="39" xfId="60" applyFont="1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72" fillId="0" borderId="24" xfId="0" applyFont="1" applyBorder="1" applyAlignment="1">
      <alignment horizontal="center"/>
    </xf>
    <xf numFmtId="0" fontId="72" fillId="0" borderId="30" xfId="0" applyFont="1" applyBorder="1" applyAlignment="1">
      <alignment horizontal="center" textRotation="90" wrapText="1"/>
    </xf>
    <xf numFmtId="0" fontId="72" fillId="0" borderId="36" xfId="0" applyFont="1" applyBorder="1" applyAlignment="1">
      <alignment horizontal="center" textRotation="90" wrapText="1"/>
    </xf>
    <xf numFmtId="0" fontId="72" fillId="0" borderId="31" xfId="0" applyFont="1" applyBorder="1" applyAlignment="1">
      <alignment horizontal="center" textRotation="90" wrapText="1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70" fillId="0" borderId="18" xfId="0" applyFont="1" applyBorder="1" applyAlignment="1">
      <alignment horizontal="right"/>
    </xf>
    <xf numFmtId="0" fontId="70" fillId="0" borderId="19" xfId="0" applyFont="1" applyBorder="1" applyAlignment="1">
      <alignment horizontal="right"/>
    </xf>
    <xf numFmtId="0" fontId="0" fillId="0" borderId="24" xfId="0" applyBorder="1" applyAlignment="1">
      <alignment horizontal="center"/>
    </xf>
    <xf numFmtId="9" fontId="0" fillId="40" borderId="24" xfId="0" applyNumberFormat="1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0" fillId="0" borderId="37" xfId="0" applyFont="1" applyFill="1" applyBorder="1" applyAlignment="1">
      <alignment horizontal="center"/>
    </xf>
    <xf numFmtId="0" fontId="70" fillId="0" borderId="38" xfId="0" applyFont="1" applyFill="1" applyBorder="1" applyAlignment="1">
      <alignment horizontal="center"/>
    </xf>
    <xf numFmtId="0" fontId="70" fillId="0" borderId="39" xfId="0" applyFont="1" applyFill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14" fillId="16" borderId="37" xfId="57" applyFont="1" applyFill="1" applyBorder="1" applyAlignment="1">
      <alignment horizontal="left" vertical="center" wrapText="1"/>
      <protection/>
    </xf>
    <xf numFmtId="0" fontId="14" fillId="16" borderId="38" xfId="57" applyFont="1" applyFill="1" applyBorder="1" applyAlignment="1">
      <alignment horizontal="left" vertical="center" wrapText="1"/>
      <protection/>
    </xf>
    <xf numFmtId="0" fontId="14" fillId="16" borderId="39" xfId="57" applyFont="1" applyFill="1" applyBorder="1" applyAlignment="1">
      <alignment horizontal="left" vertical="center" wrapText="1"/>
      <protection/>
    </xf>
    <xf numFmtId="0" fontId="14" fillId="43" borderId="37" xfId="57" applyFont="1" applyFill="1" applyBorder="1" applyAlignment="1">
      <alignment horizontal="left" vertical="center" wrapText="1"/>
      <protection/>
    </xf>
    <xf numFmtId="0" fontId="14" fillId="43" borderId="38" xfId="57" applyFont="1" applyFill="1" applyBorder="1" applyAlignment="1">
      <alignment horizontal="left" vertical="center" wrapText="1"/>
      <protection/>
    </xf>
    <xf numFmtId="0" fontId="14" fillId="0" borderId="37" xfId="57" applyFont="1" applyFill="1" applyBorder="1" applyAlignment="1">
      <alignment horizontal="left" vertical="center" wrapText="1"/>
      <protection/>
    </xf>
    <xf numFmtId="0" fontId="14" fillId="0" borderId="38" xfId="57" applyFont="1" applyFill="1" applyBorder="1" applyAlignment="1">
      <alignment horizontal="left" vertical="center" wrapText="1"/>
      <protection/>
    </xf>
    <xf numFmtId="0" fontId="14" fillId="0" borderId="39" xfId="57" applyFont="1" applyFill="1" applyBorder="1" applyAlignment="1">
      <alignment horizontal="left" vertical="center" wrapText="1"/>
      <protection/>
    </xf>
    <xf numFmtId="0" fontId="52" fillId="0" borderId="40" xfId="57" applyFont="1" applyFill="1" applyBorder="1" applyAlignment="1">
      <alignment horizontal="center" vertical="center" wrapText="1"/>
      <protection/>
    </xf>
    <xf numFmtId="0" fontId="52" fillId="0" borderId="41" xfId="57" applyFont="1" applyFill="1" applyBorder="1" applyAlignment="1">
      <alignment horizontal="center" vertical="center" wrapText="1"/>
      <protection/>
    </xf>
    <xf numFmtId="0" fontId="52" fillId="0" borderId="42" xfId="57" applyFont="1" applyFill="1" applyBorder="1" applyAlignment="1">
      <alignment horizontal="center" vertical="center" wrapText="1"/>
      <protection/>
    </xf>
    <xf numFmtId="0" fontId="14" fillId="34" borderId="37" xfId="57" applyFont="1" applyFill="1" applyBorder="1" applyAlignment="1">
      <alignment horizontal="left" vertical="center" wrapText="1"/>
      <protection/>
    </xf>
    <xf numFmtId="0" fontId="14" fillId="34" borderId="38" xfId="57" applyFont="1" applyFill="1" applyBorder="1" applyAlignment="1">
      <alignment horizontal="left" vertical="center" wrapText="1"/>
      <protection/>
    </xf>
    <xf numFmtId="0" fontId="14" fillId="34" borderId="39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225"/>
  <sheetViews>
    <sheetView zoomScale="90" zoomScaleNormal="90" zoomScalePageLayoutView="0" workbookViewId="0" topLeftCell="A167">
      <selection activeCell="D60" sqref="D60"/>
    </sheetView>
  </sheetViews>
  <sheetFormatPr defaultColWidth="9.140625" defaultRowHeight="15" outlineLevelRow="2"/>
  <cols>
    <col min="1" max="1" width="2.00390625" style="0" customWidth="1"/>
    <col min="3" max="3" width="9.28125" style="0" bestFit="1" customWidth="1"/>
    <col min="4" max="6" width="10.57421875" style="0" customWidth="1"/>
    <col min="8" max="9" width="9.57421875" style="0" customWidth="1"/>
    <col min="12" max="12" width="22.28125" style="0" customWidth="1"/>
  </cols>
  <sheetData>
    <row r="1" spans="2:3" ht="14.25">
      <c r="B1" s="75"/>
      <c r="C1" s="76" t="s">
        <v>117</v>
      </c>
    </row>
    <row r="2" spans="2:3" ht="14.25">
      <c r="B2" s="78"/>
      <c r="C2" s="76" t="s">
        <v>118</v>
      </c>
    </row>
    <row r="3" ht="8.25" customHeight="1" thickBot="1"/>
    <row r="4" spans="2:11" ht="25.5" customHeight="1" thickBot="1">
      <c r="B4" s="379" t="s">
        <v>0</v>
      </c>
      <c r="C4" s="380"/>
      <c r="D4" s="380"/>
      <c r="E4" s="380"/>
      <c r="F4" s="380"/>
      <c r="G4" s="380"/>
      <c r="H4" s="380"/>
      <c r="I4" s="380"/>
      <c r="J4" s="380"/>
      <c r="K4" s="381"/>
    </row>
    <row r="5" spans="2:11" s="139" customFormat="1" ht="15" thickBot="1"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2:11" s="139" customFormat="1" ht="14.25">
      <c r="B6" s="148" t="s">
        <v>183</v>
      </c>
      <c r="C6" s="141"/>
      <c r="D6" s="141"/>
      <c r="E6" s="141"/>
      <c r="F6" s="141"/>
      <c r="G6" s="141"/>
      <c r="H6" s="141"/>
      <c r="I6" s="141"/>
      <c r="J6" s="141"/>
      <c r="K6" s="142"/>
    </row>
    <row r="7" spans="2:12" s="139" customFormat="1" ht="28.5">
      <c r="B7" s="143"/>
      <c r="C7" s="268" t="s">
        <v>121</v>
      </c>
      <c r="D7" s="149" t="s">
        <v>184</v>
      </c>
      <c r="E7" s="140"/>
      <c r="F7" s="140"/>
      <c r="G7" s="140"/>
      <c r="H7" s="140"/>
      <c r="I7" s="140"/>
      <c r="J7" s="140"/>
      <c r="K7" s="144"/>
      <c r="L7" s="260"/>
    </row>
    <row r="8" spans="2:12" s="139" customFormat="1" ht="14.25">
      <c r="B8" s="143"/>
      <c r="C8" s="269">
        <v>0</v>
      </c>
      <c r="D8" s="149" t="s">
        <v>436</v>
      </c>
      <c r="F8" s="140"/>
      <c r="G8" s="140"/>
      <c r="H8" s="140"/>
      <c r="I8" s="140"/>
      <c r="J8" s="140"/>
      <c r="K8" s="144"/>
      <c r="L8" s="260"/>
    </row>
    <row r="9" spans="2:12" s="139" customFormat="1" ht="16.5">
      <c r="B9" s="143"/>
      <c r="C9" s="351">
        <v>0.22</v>
      </c>
      <c r="D9" s="149" t="s">
        <v>446</v>
      </c>
      <c r="F9" s="140"/>
      <c r="G9" s="140"/>
      <c r="H9" s="140"/>
      <c r="I9" s="140"/>
      <c r="J9" s="140"/>
      <c r="K9" s="144"/>
      <c r="L9" s="260"/>
    </row>
    <row r="10" spans="2:11" s="139" customFormat="1" ht="15" thickBot="1">
      <c r="B10" s="145"/>
      <c r="C10" s="146"/>
      <c r="D10" s="146"/>
      <c r="E10" s="146"/>
      <c r="F10" s="146"/>
      <c r="G10" s="146"/>
      <c r="H10" s="146"/>
      <c r="I10" s="146"/>
      <c r="J10" s="146"/>
      <c r="K10" s="147"/>
    </row>
    <row r="11" ht="15" thickBot="1"/>
    <row r="12" spans="2:11" ht="14.25" outlineLevel="1">
      <c r="B12" s="1"/>
      <c r="C12" s="2"/>
      <c r="D12" s="2"/>
      <c r="E12" s="2"/>
      <c r="F12" s="2"/>
      <c r="G12" s="2"/>
      <c r="H12" s="2"/>
      <c r="I12" s="2"/>
      <c r="J12" s="2"/>
      <c r="K12" s="3"/>
    </row>
    <row r="13" spans="2:11" ht="3" customHeight="1" outlineLevel="2">
      <c r="B13" s="4"/>
      <c r="C13" s="7"/>
      <c r="D13" s="8"/>
      <c r="E13" s="8"/>
      <c r="F13" s="8"/>
      <c r="G13" s="8"/>
      <c r="H13" s="8"/>
      <c r="I13" s="8"/>
      <c r="J13" s="9"/>
      <c r="K13" s="6"/>
    </row>
    <row r="14" spans="2:11" ht="14.25" outlineLevel="2">
      <c r="B14" s="4"/>
      <c r="C14" s="10"/>
      <c r="D14" s="270" t="s">
        <v>204</v>
      </c>
      <c r="E14" s="5" t="s">
        <v>235</v>
      </c>
      <c r="F14" s="5"/>
      <c r="G14" s="5"/>
      <c r="H14" s="5"/>
      <c r="I14" s="5"/>
      <c r="J14" s="11"/>
      <c r="K14" s="6"/>
    </row>
    <row r="15" spans="2:11" ht="14.25" outlineLevel="2">
      <c r="B15" s="4"/>
      <c r="C15" s="10"/>
      <c r="D15" s="271">
        <v>42</v>
      </c>
      <c r="E15" s="5" t="s">
        <v>128</v>
      </c>
      <c r="F15" s="358" t="s">
        <v>129</v>
      </c>
      <c r="G15" s="359"/>
      <c r="H15" s="360"/>
      <c r="I15" s="5"/>
      <c r="J15" s="11"/>
      <c r="K15" s="6"/>
    </row>
    <row r="16" spans="2:11" ht="3.75" customHeight="1" outlineLevel="2">
      <c r="B16" s="4"/>
      <c r="C16" s="10"/>
      <c r="D16" s="68">
        <v>-20</v>
      </c>
      <c r="E16" s="5"/>
      <c r="F16" s="5"/>
      <c r="G16" s="5"/>
      <c r="H16" s="5"/>
      <c r="I16" s="5"/>
      <c r="J16" s="11"/>
      <c r="K16" s="6"/>
    </row>
    <row r="17" spans="2:11" ht="14.25" outlineLevel="1">
      <c r="B17" s="4"/>
      <c r="C17" s="388" t="s">
        <v>2</v>
      </c>
      <c r="D17" s="389"/>
      <c r="E17" s="389"/>
      <c r="F17" s="389"/>
      <c r="G17" s="389"/>
      <c r="H17" s="389"/>
      <c r="I17" s="389"/>
      <c r="J17" s="390"/>
      <c r="K17" s="6"/>
    </row>
    <row r="18" spans="2:11" ht="3" customHeight="1" outlineLevel="1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3" customHeight="1" outlineLevel="2">
      <c r="B19" s="4"/>
      <c r="C19" s="7"/>
      <c r="D19" s="8"/>
      <c r="E19" s="8"/>
      <c r="F19" s="8"/>
      <c r="G19" s="8"/>
      <c r="H19" s="8"/>
      <c r="I19" s="8"/>
      <c r="J19" s="9"/>
      <c r="K19" s="6"/>
    </row>
    <row r="20" spans="2:11" ht="14.25" outlineLevel="2">
      <c r="B20" s="4"/>
      <c r="C20" s="10"/>
      <c r="D20" s="270" t="s">
        <v>204</v>
      </c>
      <c r="E20" s="5" t="s">
        <v>235</v>
      </c>
      <c r="F20" s="5"/>
      <c r="G20" s="5"/>
      <c r="H20" s="5"/>
      <c r="I20" s="5"/>
      <c r="J20" s="11"/>
      <c r="K20" s="6"/>
    </row>
    <row r="21" spans="2:12" ht="14.25" outlineLevel="2">
      <c r="B21" s="4"/>
      <c r="C21" s="10"/>
      <c r="D21" s="271">
        <v>60</v>
      </c>
      <c r="E21" s="5" t="s">
        <v>4</v>
      </c>
      <c r="F21" s="5"/>
      <c r="G21" s="5"/>
      <c r="H21" s="5"/>
      <c r="I21" s="5"/>
      <c r="J21" s="11"/>
      <c r="K21" s="6"/>
      <c r="L21" s="121"/>
    </row>
    <row r="22" spans="2:11" ht="3.75" customHeight="1" outlineLevel="2">
      <c r="B22" s="4"/>
      <c r="C22" s="10"/>
      <c r="D22" s="5"/>
      <c r="E22" s="5"/>
      <c r="F22" s="5"/>
      <c r="G22" s="5"/>
      <c r="H22" s="5"/>
      <c r="I22" s="5"/>
      <c r="J22" s="11"/>
      <c r="K22" s="6"/>
    </row>
    <row r="23" spans="2:11" ht="14.25" outlineLevel="1">
      <c r="B23" s="4"/>
      <c r="C23" s="388" t="s">
        <v>3</v>
      </c>
      <c r="D23" s="389"/>
      <c r="E23" s="389"/>
      <c r="F23" s="389"/>
      <c r="G23" s="389"/>
      <c r="H23" s="389"/>
      <c r="I23" s="389"/>
      <c r="J23" s="390"/>
      <c r="K23" s="6"/>
    </row>
    <row r="24" spans="2:11" ht="3.75" customHeight="1" outlineLevel="1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3" customHeight="1" outlineLevel="2">
      <c r="B25" s="4"/>
      <c r="C25" s="7"/>
      <c r="D25" s="8"/>
      <c r="E25" s="8"/>
      <c r="F25" s="8"/>
      <c r="G25" s="8"/>
      <c r="H25" s="8"/>
      <c r="I25" s="8"/>
      <c r="J25" s="9"/>
      <c r="K25" s="6"/>
    </row>
    <row r="26" spans="2:11" ht="14.25" outlineLevel="2">
      <c r="B26" s="4"/>
      <c r="C26" s="10"/>
      <c r="D26" s="270" t="s">
        <v>204</v>
      </c>
      <c r="E26" s="5" t="s">
        <v>235</v>
      </c>
      <c r="F26" s="5"/>
      <c r="G26" s="5"/>
      <c r="H26" s="5"/>
      <c r="I26" s="5"/>
      <c r="J26" s="11"/>
      <c r="K26" s="6"/>
    </row>
    <row r="27" spans="2:11" ht="14.25" outlineLevel="2">
      <c r="B27" s="4"/>
      <c r="C27" s="10"/>
      <c r="D27" s="12" t="s">
        <v>6</v>
      </c>
      <c r="E27" s="5"/>
      <c r="F27" s="5"/>
      <c r="G27" s="5"/>
      <c r="H27" s="5"/>
      <c r="I27" s="5"/>
      <c r="J27" s="11"/>
      <c r="K27" s="6"/>
    </row>
    <row r="28" spans="2:12" ht="14.25" outlineLevel="2">
      <c r="B28" s="4"/>
      <c r="C28" s="10"/>
      <c r="D28" s="272">
        <v>0</v>
      </c>
      <c r="E28" s="5" t="s">
        <v>7</v>
      </c>
      <c r="F28" s="5"/>
      <c r="G28" s="5"/>
      <c r="H28" s="5"/>
      <c r="I28" s="5"/>
      <c r="J28" s="11"/>
      <c r="K28" s="6"/>
      <c r="L28" s="121"/>
    </row>
    <row r="29" spans="2:11" ht="14.25" outlineLevel="2">
      <c r="B29" s="4"/>
      <c r="C29" s="10"/>
      <c r="D29" s="272">
        <v>0.5</v>
      </c>
      <c r="E29" s="5" t="s">
        <v>8</v>
      </c>
      <c r="F29" s="5"/>
      <c r="G29" s="5"/>
      <c r="H29" s="5"/>
      <c r="I29" s="5"/>
      <c r="J29" s="11"/>
      <c r="K29" s="6"/>
    </row>
    <row r="30" spans="2:11" ht="14.25" outlineLevel="2">
      <c r="B30" s="4"/>
      <c r="C30" s="10"/>
      <c r="D30" s="272">
        <v>0.2</v>
      </c>
      <c r="E30" s="5" t="s">
        <v>9</v>
      </c>
      <c r="F30" s="5"/>
      <c r="G30" s="5"/>
      <c r="H30" s="5"/>
      <c r="I30" s="5"/>
      <c r="J30" s="11"/>
      <c r="K30" s="6"/>
    </row>
    <row r="31" spans="2:11" ht="14.25" outlineLevel="2">
      <c r="B31" s="4"/>
      <c r="C31" s="10"/>
      <c r="D31" s="272">
        <v>0</v>
      </c>
      <c r="E31" s="13" t="s">
        <v>10</v>
      </c>
      <c r="F31" s="5"/>
      <c r="G31" s="5"/>
      <c r="H31" s="5"/>
      <c r="I31" s="5"/>
      <c r="J31" s="11"/>
      <c r="K31" s="6"/>
    </row>
    <row r="32" spans="2:11" ht="14.25" outlineLevel="2">
      <c r="B32" s="4"/>
      <c r="C32" s="10"/>
      <c r="D32" s="272">
        <v>0</v>
      </c>
      <c r="E32" s="13" t="s">
        <v>11</v>
      </c>
      <c r="F32" s="5"/>
      <c r="G32" s="5"/>
      <c r="H32" s="5"/>
      <c r="I32" s="5"/>
      <c r="J32" s="11"/>
      <c r="K32" s="6"/>
    </row>
    <row r="33" spans="2:11" ht="14.25" outlineLevel="2">
      <c r="B33" s="4"/>
      <c r="C33" s="10"/>
      <c r="D33" s="272">
        <v>0.3</v>
      </c>
      <c r="E33" s="13" t="s">
        <v>12</v>
      </c>
      <c r="F33" s="5"/>
      <c r="G33" s="5"/>
      <c r="H33" s="5"/>
      <c r="I33" s="5"/>
      <c r="J33" s="11"/>
      <c r="K33" s="6"/>
    </row>
    <row r="34" spans="2:11" ht="14.25" outlineLevel="2">
      <c r="B34" s="4"/>
      <c r="C34" s="10"/>
      <c r="D34" s="129">
        <f>SUM(D28:D33)</f>
        <v>1</v>
      </c>
      <c r="E34" s="13" t="s">
        <v>135</v>
      </c>
      <c r="F34" s="126">
        <f>IF(D34&lt;&gt;1,"values must add up to 100%","")</f>
      </c>
      <c r="G34" s="5"/>
      <c r="H34" s="5"/>
      <c r="I34" s="5"/>
      <c r="J34" s="11"/>
      <c r="K34" s="6"/>
    </row>
    <row r="35" spans="2:11" ht="3.75" customHeight="1" outlineLevel="2">
      <c r="B35" s="4"/>
      <c r="C35" s="10"/>
      <c r="D35" s="5"/>
      <c r="E35" s="5"/>
      <c r="F35" s="5"/>
      <c r="G35" s="5"/>
      <c r="H35" s="5"/>
      <c r="I35" s="5"/>
      <c r="J35" s="11"/>
      <c r="K35" s="6"/>
    </row>
    <row r="36" spans="2:11" ht="14.25" outlineLevel="1">
      <c r="B36" s="4"/>
      <c r="C36" s="388" t="s">
        <v>5</v>
      </c>
      <c r="D36" s="389"/>
      <c r="E36" s="389"/>
      <c r="F36" s="389"/>
      <c r="G36" s="389"/>
      <c r="H36" s="389"/>
      <c r="I36" s="389"/>
      <c r="J36" s="390"/>
      <c r="K36" s="6"/>
    </row>
    <row r="37" spans="2:11" ht="3" customHeight="1" outlineLevel="1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3" customHeight="1" outlineLevel="2">
      <c r="B38" s="4"/>
      <c r="C38" s="7"/>
      <c r="D38" s="8"/>
      <c r="E38" s="8"/>
      <c r="F38" s="8"/>
      <c r="G38" s="8"/>
      <c r="H38" s="8"/>
      <c r="I38" s="8"/>
      <c r="J38" s="9"/>
      <c r="K38" s="6"/>
    </row>
    <row r="39" spans="2:11" ht="14.25" outlineLevel="2">
      <c r="B39" s="4"/>
      <c r="C39" s="10"/>
      <c r="D39" s="270" t="s">
        <v>204</v>
      </c>
      <c r="E39" s="5" t="s">
        <v>235</v>
      </c>
      <c r="F39" s="5"/>
      <c r="G39" s="5"/>
      <c r="H39" s="5"/>
      <c r="I39" s="5"/>
      <c r="J39" s="11"/>
      <c r="K39" s="6"/>
    </row>
    <row r="40" spans="2:11" ht="14.25" outlineLevel="2">
      <c r="B40" s="4"/>
      <c r="C40" s="10"/>
      <c r="D40" s="271">
        <v>2</v>
      </c>
      <c r="E40" s="5" t="s">
        <v>14</v>
      </c>
      <c r="F40" s="5"/>
      <c r="G40" s="5"/>
      <c r="H40" s="5"/>
      <c r="I40" s="5"/>
      <c r="J40" s="11"/>
      <c r="K40" s="6"/>
    </row>
    <row r="41" spans="2:11" ht="3.75" customHeight="1" outlineLevel="2">
      <c r="B41" s="4"/>
      <c r="C41" s="10"/>
      <c r="D41" s="5"/>
      <c r="E41" s="5"/>
      <c r="F41" s="5"/>
      <c r="G41" s="5"/>
      <c r="H41" s="5"/>
      <c r="I41" s="5"/>
      <c r="J41" s="11"/>
      <c r="K41" s="6"/>
    </row>
    <row r="42" spans="2:11" ht="14.25" outlineLevel="1">
      <c r="B42" s="4"/>
      <c r="C42" s="388" t="s">
        <v>13</v>
      </c>
      <c r="D42" s="389"/>
      <c r="E42" s="389"/>
      <c r="F42" s="389"/>
      <c r="G42" s="389"/>
      <c r="H42" s="389"/>
      <c r="I42" s="389"/>
      <c r="J42" s="390"/>
      <c r="K42" s="6"/>
    </row>
    <row r="43" spans="2:11" ht="3.75" customHeight="1" outlineLevel="1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ht="3" customHeight="1" outlineLevel="2">
      <c r="B44" s="4"/>
      <c r="C44" s="7"/>
      <c r="D44" s="8"/>
      <c r="E44" s="8"/>
      <c r="F44" s="8"/>
      <c r="G44" s="8"/>
      <c r="H44" s="8"/>
      <c r="I44" s="8"/>
      <c r="J44" s="9"/>
      <c r="K44" s="6"/>
    </row>
    <row r="45" spans="2:11" ht="14.25" outlineLevel="2">
      <c r="B45" s="4"/>
      <c r="C45" s="10"/>
      <c r="D45" s="270" t="s">
        <v>204</v>
      </c>
      <c r="E45" s="5" t="s">
        <v>235</v>
      </c>
      <c r="F45" s="5"/>
      <c r="G45" s="5"/>
      <c r="H45" s="5"/>
      <c r="I45" s="5"/>
      <c r="J45" s="11"/>
      <c r="K45" s="6"/>
    </row>
    <row r="46" spans="2:11" ht="14.25" outlineLevel="2">
      <c r="B46" s="4"/>
      <c r="C46" s="10"/>
      <c r="D46" s="271">
        <v>0.1</v>
      </c>
      <c r="E46" s="5" t="s">
        <v>17</v>
      </c>
      <c r="F46" s="5"/>
      <c r="G46" s="5"/>
      <c r="H46" s="5"/>
      <c r="I46" s="5"/>
      <c r="J46" s="11"/>
      <c r="K46" s="6"/>
    </row>
    <row r="47" spans="2:11" ht="3.75" customHeight="1" outlineLevel="2">
      <c r="B47" s="4"/>
      <c r="C47" s="10"/>
      <c r="D47" s="5"/>
      <c r="E47" s="5"/>
      <c r="F47" s="5"/>
      <c r="G47" s="5"/>
      <c r="H47" s="5"/>
      <c r="I47" s="5"/>
      <c r="J47" s="11"/>
      <c r="K47" s="6"/>
    </row>
    <row r="48" spans="2:11" ht="14.25" outlineLevel="1">
      <c r="B48" s="4"/>
      <c r="C48" s="388" t="s">
        <v>15</v>
      </c>
      <c r="D48" s="389"/>
      <c r="E48" s="389"/>
      <c r="F48" s="389"/>
      <c r="G48" s="389"/>
      <c r="H48" s="389"/>
      <c r="I48" s="389"/>
      <c r="J48" s="390"/>
      <c r="K48" s="6"/>
    </row>
    <row r="49" spans="2:11" ht="3.75" customHeight="1" outlineLevel="1">
      <c r="B49" s="4"/>
      <c r="C49" s="5"/>
      <c r="D49" s="5"/>
      <c r="E49" s="5"/>
      <c r="F49" s="5"/>
      <c r="G49" s="5"/>
      <c r="H49" s="5"/>
      <c r="I49" s="5"/>
      <c r="J49" s="5"/>
      <c r="K49" s="6"/>
    </row>
    <row r="50" spans="2:11" ht="3" customHeight="1" outlineLevel="2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4.25" outlineLevel="2">
      <c r="B51" s="4"/>
      <c r="C51" s="10"/>
      <c r="D51" s="270" t="s">
        <v>204</v>
      </c>
      <c r="E51" s="5" t="s">
        <v>235</v>
      </c>
      <c r="F51" s="5"/>
      <c r="G51" s="5"/>
      <c r="H51" s="5"/>
      <c r="I51" s="5"/>
      <c r="J51" s="11"/>
      <c r="K51" s="6"/>
    </row>
    <row r="52" spans="2:11" ht="14.25" outlineLevel="2">
      <c r="B52" s="4"/>
      <c r="C52" s="10"/>
      <c r="D52" s="272">
        <v>0.1</v>
      </c>
      <c r="E52" s="5" t="s">
        <v>172</v>
      </c>
      <c r="F52" s="5"/>
      <c r="G52" s="5"/>
      <c r="H52" s="5"/>
      <c r="I52" s="5"/>
      <c r="J52" s="11"/>
      <c r="K52" s="6"/>
    </row>
    <row r="53" spans="2:11" ht="3.75" customHeight="1" outlineLevel="2">
      <c r="B53" s="4"/>
      <c r="C53" s="10"/>
      <c r="D53" s="5"/>
      <c r="E53" s="5"/>
      <c r="F53" s="5"/>
      <c r="G53" s="5"/>
      <c r="H53" s="5"/>
      <c r="I53" s="5"/>
      <c r="J53" s="11"/>
      <c r="K53" s="6"/>
    </row>
    <row r="54" spans="2:11" ht="14.25" outlineLevel="1">
      <c r="B54" s="4"/>
      <c r="C54" s="388" t="s">
        <v>16</v>
      </c>
      <c r="D54" s="389"/>
      <c r="E54" s="389"/>
      <c r="F54" s="389"/>
      <c r="G54" s="389"/>
      <c r="H54" s="389"/>
      <c r="I54" s="389"/>
      <c r="J54" s="390"/>
      <c r="K54" s="6"/>
    </row>
    <row r="55" spans="2:11" ht="3.75" customHeight="1" outlineLevel="1" thickBot="1">
      <c r="B55" s="4"/>
      <c r="C55" s="5"/>
      <c r="D55" s="5"/>
      <c r="E55" s="5"/>
      <c r="F55" s="5"/>
      <c r="G55" s="5"/>
      <c r="H55" s="5"/>
      <c r="I55" s="5"/>
      <c r="J55" s="5"/>
      <c r="K55" s="6"/>
    </row>
    <row r="56" spans="2:11" ht="18.75" thickBot="1">
      <c r="B56" s="382" t="s">
        <v>18</v>
      </c>
      <c r="C56" s="383"/>
      <c r="D56" s="383"/>
      <c r="E56" s="383"/>
      <c r="F56" s="383"/>
      <c r="G56" s="383"/>
      <c r="H56" s="383"/>
      <c r="I56" s="383"/>
      <c r="J56" s="383"/>
      <c r="K56" s="384"/>
    </row>
    <row r="57" ht="15" thickBot="1"/>
    <row r="58" spans="2:11" ht="14.25" outlineLevel="1">
      <c r="B58" s="1"/>
      <c r="C58" s="2"/>
      <c r="D58" s="2"/>
      <c r="E58" s="2"/>
      <c r="F58" s="2"/>
      <c r="G58" s="2"/>
      <c r="H58" s="2"/>
      <c r="I58" s="2"/>
      <c r="J58" s="2"/>
      <c r="K58" s="3"/>
    </row>
    <row r="59" spans="2:11" ht="3" customHeight="1" outlineLevel="2">
      <c r="B59" s="4"/>
      <c r="C59" s="7"/>
      <c r="D59" s="8"/>
      <c r="E59" s="8"/>
      <c r="F59" s="8"/>
      <c r="G59" s="8"/>
      <c r="H59" s="8"/>
      <c r="I59" s="8"/>
      <c r="J59" s="9"/>
      <c r="K59" s="6"/>
    </row>
    <row r="60" spans="2:11" ht="14.25" outlineLevel="2">
      <c r="B60" s="4"/>
      <c r="C60" s="10"/>
      <c r="D60" s="270" t="s">
        <v>204</v>
      </c>
      <c r="E60" s="5" t="s">
        <v>235</v>
      </c>
      <c r="F60" s="5"/>
      <c r="G60" s="5"/>
      <c r="H60" s="5"/>
      <c r="I60" s="5"/>
      <c r="J60" s="11"/>
      <c r="K60" s="6"/>
    </row>
    <row r="61" spans="2:12" ht="31.5" customHeight="1" outlineLevel="2">
      <c r="B61" s="4"/>
      <c r="C61" s="10"/>
      <c r="D61" s="394" t="s">
        <v>190</v>
      </c>
      <c r="E61" s="394"/>
      <c r="F61" s="5" t="s">
        <v>189</v>
      </c>
      <c r="H61" s="5"/>
      <c r="I61" s="5"/>
      <c r="J61" s="11"/>
      <c r="K61" s="6"/>
      <c r="L61" s="121"/>
    </row>
    <row r="62" spans="2:11" ht="3.75" customHeight="1" outlineLevel="2">
      <c r="B62" s="4"/>
      <c r="C62" s="10"/>
      <c r="D62" s="8"/>
      <c r="E62" s="5"/>
      <c r="F62" s="5"/>
      <c r="G62" s="5"/>
      <c r="H62" s="5"/>
      <c r="I62" s="5"/>
      <c r="J62" s="11"/>
      <c r="K62" s="6"/>
    </row>
    <row r="63" spans="2:11" ht="15" customHeight="1" outlineLevel="1">
      <c r="B63" s="4"/>
      <c r="C63" s="363" t="s">
        <v>71</v>
      </c>
      <c r="D63" s="364"/>
      <c r="E63" s="364"/>
      <c r="F63" s="364"/>
      <c r="G63" s="364"/>
      <c r="H63" s="364"/>
      <c r="I63" s="364"/>
      <c r="J63" s="365"/>
      <c r="K63" s="6"/>
    </row>
    <row r="64" spans="2:11" ht="3" customHeight="1" outlineLevel="1">
      <c r="B64" s="4"/>
      <c r="C64" s="5"/>
      <c r="D64" s="5"/>
      <c r="E64" s="5"/>
      <c r="F64" s="5"/>
      <c r="G64" s="5"/>
      <c r="H64" s="5"/>
      <c r="I64" s="5"/>
      <c r="J64" s="5"/>
      <c r="K64" s="6"/>
    </row>
    <row r="65" spans="2:11" ht="3" customHeight="1" outlineLevel="2">
      <c r="B65" s="4"/>
      <c r="C65" s="7"/>
      <c r="D65" s="8"/>
      <c r="E65" s="8"/>
      <c r="F65" s="8"/>
      <c r="G65" s="8"/>
      <c r="H65" s="8"/>
      <c r="I65" s="8"/>
      <c r="J65" s="9"/>
      <c r="K65" s="6"/>
    </row>
    <row r="66" spans="2:11" ht="14.25" outlineLevel="2">
      <c r="B66" s="4"/>
      <c r="C66" s="10"/>
      <c r="D66" s="270" t="s">
        <v>204</v>
      </c>
      <c r="E66" s="5" t="s">
        <v>235</v>
      </c>
      <c r="F66" s="5"/>
      <c r="G66" s="5"/>
      <c r="H66" s="5"/>
      <c r="I66" s="5"/>
      <c r="J66" s="11"/>
      <c r="K66" s="6"/>
    </row>
    <row r="67" spans="2:11" ht="14.25" outlineLevel="2">
      <c r="B67" s="4"/>
      <c r="C67" s="10"/>
      <c r="D67" s="273">
        <v>0.5</v>
      </c>
      <c r="E67" s="361" t="s">
        <v>193</v>
      </c>
      <c r="F67" s="362"/>
      <c r="G67" s="362"/>
      <c r="H67" s="362"/>
      <c r="I67" s="362"/>
      <c r="J67" s="11"/>
      <c r="K67" s="6"/>
    </row>
    <row r="68" spans="2:11" ht="14.25" outlineLevel="2">
      <c r="B68" s="4"/>
      <c r="C68" s="10"/>
      <c r="D68" s="159"/>
      <c r="E68" s="362"/>
      <c r="F68" s="362"/>
      <c r="G68" s="362"/>
      <c r="H68" s="362"/>
      <c r="I68" s="362"/>
      <c r="J68" s="11"/>
      <c r="K68" s="6"/>
    </row>
    <row r="69" spans="2:11" ht="14.25" outlineLevel="2">
      <c r="B69" s="4"/>
      <c r="C69" s="10"/>
      <c r="D69" s="273">
        <v>0.75</v>
      </c>
      <c r="E69" s="362" t="s">
        <v>194</v>
      </c>
      <c r="F69" s="362"/>
      <c r="G69" s="362"/>
      <c r="H69" s="362"/>
      <c r="I69" s="362"/>
      <c r="J69" s="11"/>
      <c r="K69" s="6"/>
    </row>
    <row r="70" spans="2:11" ht="14.25" outlineLevel="2">
      <c r="B70" s="4"/>
      <c r="C70" s="10"/>
      <c r="D70" s="5"/>
      <c r="E70" s="362"/>
      <c r="F70" s="362"/>
      <c r="G70" s="362"/>
      <c r="H70" s="362"/>
      <c r="I70" s="362"/>
      <c r="J70" s="11"/>
      <c r="K70" s="6"/>
    </row>
    <row r="71" spans="2:11" ht="3.75" customHeight="1" outlineLevel="2">
      <c r="B71" s="4"/>
      <c r="C71" s="10"/>
      <c r="D71" s="5"/>
      <c r="E71" s="5"/>
      <c r="F71" s="5"/>
      <c r="G71" s="5"/>
      <c r="H71" s="5"/>
      <c r="I71" s="5"/>
      <c r="J71" s="11"/>
      <c r="K71" s="6"/>
    </row>
    <row r="72" spans="2:11" ht="15" customHeight="1" outlineLevel="1">
      <c r="B72" s="4"/>
      <c r="C72" s="363" t="s">
        <v>74</v>
      </c>
      <c r="D72" s="364"/>
      <c r="E72" s="364"/>
      <c r="F72" s="364"/>
      <c r="G72" s="364"/>
      <c r="H72" s="364"/>
      <c r="I72" s="364"/>
      <c r="J72" s="365"/>
      <c r="K72" s="6"/>
    </row>
    <row r="73" spans="2:11" ht="3" customHeight="1" outlineLevel="1">
      <c r="B73" s="4"/>
      <c r="C73" s="5"/>
      <c r="D73" s="5"/>
      <c r="E73" s="5"/>
      <c r="F73" s="5"/>
      <c r="G73" s="5"/>
      <c r="H73" s="5"/>
      <c r="I73" s="5"/>
      <c r="J73" s="5"/>
      <c r="K73" s="6"/>
    </row>
    <row r="74" spans="2:11" ht="3" customHeight="1" outlineLevel="2">
      <c r="B74" s="4"/>
      <c r="C74" s="7"/>
      <c r="D74" s="8"/>
      <c r="E74" s="8"/>
      <c r="F74" s="8"/>
      <c r="G74" s="8"/>
      <c r="H74" s="8"/>
      <c r="I74" s="8"/>
      <c r="J74" s="9"/>
      <c r="K74" s="6"/>
    </row>
    <row r="75" spans="2:12" ht="14.25" outlineLevel="2">
      <c r="B75" s="4"/>
      <c r="C75" s="10"/>
      <c r="D75" s="270" t="s">
        <v>204</v>
      </c>
      <c r="E75" s="5" t="s">
        <v>235</v>
      </c>
      <c r="F75" s="5"/>
      <c r="G75" s="5"/>
      <c r="H75" s="5"/>
      <c r="I75" s="5"/>
      <c r="J75" s="11"/>
      <c r="K75" s="6"/>
      <c r="L75" s="121"/>
    </row>
    <row r="76" spans="2:12" ht="14.25" outlineLevel="2">
      <c r="B76" s="4"/>
      <c r="C76" s="10"/>
      <c r="D76" s="340" t="s">
        <v>439</v>
      </c>
      <c r="E76" s="269">
        <v>10</v>
      </c>
      <c r="F76" s="5" t="s">
        <v>440</v>
      </c>
      <c r="G76" s="339"/>
      <c r="H76" s="5"/>
      <c r="I76" s="5"/>
      <c r="J76" s="11"/>
      <c r="K76" s="6"/>
      <c r="L76" s="121"/>
    </row>
    <row r="77" spans="2:12" ht="14.25" outlineLevel="2">
      <c r="B77" s="4"/>
      <c r="C77" s="10"/>
      <c r="F77" s="339" t="s">
        <v>441</v>
      </c>
      <c r="G77" s="339"/>
      <c r="H77" s="5"/>
      <c r="I77" s="5"/>
      <c r="J77" s="11"/>
      <c r="K77" s="6"/>
      <c r="L77" s="121"/>
    </row>
    <row r="78" spans="2:11" ht="3.75" customHeight="1" outlineLevel="2">
      <c r="B78" s="4"/>
      <c r="C78" s="10"/>
      <c r="D78" s="5"/>
      <c r="E78" s="5"/>
      <c r="F78" s="5"/>
      <c r="G78" s="5"/>
      <c r="H78" s="5"/>
      <c r="I78" s="5"/>
      <c r="J78" s="11"/>
      <c r="K78" s="6"/>
    </row>
    <row r="79" spans="2:11" ht="15" customHeight="1" outlineLevel="1">
      <c r="B79" s="4"/>
      <c r="C79" s="363" t="s">
        <v>78</v>
      </c>
      <c r="D79" s="364"/>
      <c r="E79" s="364"/>
      <c r="F79" s="364"/>
      <c r="G79" s="364"/>
      <c r="H79" s="364"/>
      <c r="I79" s="364"/>
      <c r="J79" s="365"/>
      <c r="K79" s="6"/>
    </row>
    <row r="80" spans="2:11" ht="3.75" customHeight="1" outlineLevel="1">
      <c r="B80" s="4"/>
      <c r="C80" s="5"/>
      <c r="D80" s="5"/>
      <c r="E80" s="5"/>
      <c r="F80" s="5"/>
      <c r="G80" s="5"/>
      <c r="H80" s="5"/>
      <c r="I80" s="5"/>
      <c r="J80" s="5"/>
      <c r="K80" s="6"/>
    </row>
    <row r="81" spans="2:11" ht="3" customHeight="1" outlineLevel="2">
      <c r="B81" s="4"/>
      <c r="C81" s="7"/>
      <c r="D81" s="8"/>
      <c r="E81" s="8"/>
      <c r="F81" s="8"/>
      <c r="G81" s="8"/>
      <c r="H81" s="8"/>
      <c r="I81" s="8"/>
      <c r="J81" s="9"/>
      <c r="K81" s="6"/>
    </row>
    <row r="82" spans="2:11" ht="14.25" outlineLevel="2">
      <c r="B82" s="4"/>
      <c r="C82" s="10"/>
      <c r="D82" s="274" t="s">
        <v>204</v>
      </c>
      <c r="E82" s="5" t="s">
        <v>235</v>
      </c>
      <c r="F82" s="5"/>
      <c r="G82" s="5"/>
      <c r="H82" s="5"/>
      <c r="I82" s="5"/>
      <c r="J82" s="11"/>
      <c r="K82" s="6"/>
    </row>
    <row r="83" spans="2:12" ht="14.25" outlineLevel="2">
      <c r="B83" s="4"/>
      <c r="C83" s="10"/>
      <c r="D83" s="393" t="s">
        <v>310</v>
      </c>
      <c r="E83" s="393"/>
      <c r="F83" s="393"/>
      <c r="G83" s="5" t="s">
        <v>309</v>
      </c>
      <c r="H83" s="5"/>
      <c r="I83" s="5"/>
      <c r="J83" s="11"/>
      <c r="K83" s="6"/>
      <c r="L83" s="121"/>
    </row>
    <row r="84" spans="2:11" ht="3.75" customHeight="1" outlineLevel="2">
      <c r="B84" s="4"/>
      <c r="C84" s="10"/>
      <c r="D84" s="5"/>
      <c r="E84" s="5"/>
      <c r="F84" s="5"/>
      <c r="G84" s="5"/>
      <c r="H84" s="5"/>
      <c r="I84" s="5"/>
      <c r="J84" s="11"/>
      <c r="K84" s="6"/>
    </row>
    <row r="85" spans="2:11" ht="15" customHeight="1" outlineLevel="1">
      <c r="B85" s="4"/>
      <c r="C85" s="363" t="s">
        <v>119</v>
      </c>
      <c r="D85" s="364"/>
      <c r="E85" s="364"/>
      <c r="F85" s="364"/>
      <c r="G85" s="364"/>
      <c r="H85" s="364"/>
      <c r="I85" s="364"/>
      <c r="J85" s="365"/>
      <c r="K85" s="6"/>
    </row>
    <row r="86" spans="2:11" ht="3.75" customHeight="1" outlineLevel="1" thickBot="1">
      <c r="B86" s="4"/>
      <c r="C86" s="5"/>
      <c r="D86" s="5"/>
      <c r="E86" s="5"/>
      <c r="F86" s="5"/>
      <c r="G86" s="5"/>
      <c r="H86" s="5"/>
      <c r="I86" s="5"/>
      <c r="J86" s="5"/>
      <c r="K86" s="6"/>
    </row>
    <row r="87" spans="2:11" ht="18.75" thickBot="1">
      <c r="B87" s="369" t="s">
        <v>19</v>
      </c>
      <c r="C87" s="370"/>
      <c r="D87" s="370"/>
      <c r="E87" s="370"/>
      <c r="F87" s="370"/>
      <c r="G87" s="370"/>
      <c r="H87" s="370"/>
      <c r="I87" s="370"/>
      <c r="J87" s="370"/>
      <c r="K87" s="371"/>
    </row>
    <row r="88" ht="15" thickBot="1"/>
    <row r="89" spans="2:11" ht="14.25" outlineLevel="1">
      <c r="B89" s="1"/>
      <c r="C89" s="2"/>
      <c r="D89" s="2"/>
      <c r="E89" s="2"/>
      <c r="F89" s="2"/>
      <c r="G89" s="2"/>
      <c r="H89" s="2"/>
      <c r="I89" s="2"/>
      <c r="J89" s="2"/>
      <c r="K89" s="3"/>
    </row>
    <row r="90" spans="2:11" ht="3" customHeight="1" outlineLevel="2">
      <c r="B90" s="4"/>
      <c r="C90" s="7"/>
      <c r="D90" s="8"/>
      <c r="E90" s="8"/>
      <c r="F90" s="8"/>
      <c r="G90" s="8"/>
      <c r="H90" s="8"/>
      <c r="I90" s="8"/>
      <c r="J90" s="9"/>
      <c r="K90" s="6"/>
    </row>
    <row r="91" spans="2:11" ht="14.25" outlineLevel="2">
      <c r="B91" s="4"/>
      <c r="C91" s="10"/>
      <c r="D91" s="270" t="s">
        <v>204</v>
      </c>
      <c r="E91" s="5" t="s">
        <v>235</v>
      </c>
      <c r="F91" s="5"/>
      <c r="G91" s="5"/>
      <c r="H91" s="5"/>
      <c r="I91" s="5"/>
      <c r="J91" s="11"/>
      <c r="K91" s="6"/>
    </row>
    <row r="92" spans="2:11" ht="14.25" outlineLevel="2">
      <c r="B92" s="4"/>
      <c r="C92" s="10"/>
      <c r="D92" s="271">
        <v>75</v>
      </c>
      <c r="E92" s="5" t="s">
        <v>386</v>
      </c>
      <c r="F92" s="5"/>
      <c r="G92" s="5"/>
      <c r="H92" s="5"/>
      <c r="I92" s="5"/>
      <c r="J92" s="11"/>
      <c r="K92" s="6"/>
    </row>
    <row r="93" spans="2:11" ht="14.25" outlineLevel="2">
      <c r="B93" s="4"/>
      <c r="C93" s="10"/>
      <c r="D93" s="271">
        <v>50</v>
      </c>
      <c r="E93" s="5" t="s">
        <v>387</v>
      </c>
      <c r="F93" s="5"/>
      <c r="G93" s="5"/>
      <c r="H93" s="5"/>
      <c r="I93" s="5"/>
      <c r="J93" s="240">
        <f>IF((D92-D93)/D92&gt;0.5,"&gt;50% reduction.  Literature suggests a 50% reduction as a ceiling for reduction","")</f>
      </c>
      <c r="K93" s="6"/>
    </row>
    <row r="94" spans="2:11" ht="3.75" customHeight="1" outlineLevel="2">
      <c r="B94" s="4"/>
      <c r="C94" s="10"/>
      <c r="D94" s="8"/>
      <c r="E94" s="5"/>
      <c r="F94" s="5"/>
      <c r="G94" s="5"/>
      <c r="H94" s="5"/>
      <c r="I94" s="5"/>
      <c r="J94" s="11"/>
      <c r="K94" s="6"/>
    </row>
    <row r="95" spans="2:11" ht="14.25" outlineLevel="1">
      <c r="B95" s="4"/>
      <c r="C95" s="372" t="s">
        <v>72</v>
      </c>
      <c r="D95" s="373"/>
      <c r="E95" s="373"/>
      <c r="F95" s="373"/>
      <c r="G95" s="373"/>
      <c r="H95" s="373"/>
      <c r="I95" s="373"/>
      <c r="J95" s="374"/>
      <c r="K95" s="6"/>
    </row>
    <row r="96" spans="2:11" ht="3" customHeight="1" outlineLevel="1">
      <c r="B96" s="4"/>
      <c r="C96" s="5"/>
      <c r="D96" s="5"/>
      <c r="E96" s="5"/>
      <c r="F96" s="5"/>
      <c r="G96" s="5"/>
      <c r="H96" s="5"/>
      <c r="I96" s="5"/>
      <c r="J96" s="5"/>
      <c r="K96" s="6"/>
    </row>
    <row r="97" spans="2:11" ht="3" customHeight="1" outlineLevel="2">
      <c r="B97" s="4"/>
      <c r="C97" s="7"/>
      <c r="D97" s="8"/>
      <c r="E97" s="8"/>
      <c r="F97" s="8"/>
      <c r="G97" s="8"/>
      <c r="H97" s="8"/>
      <c r="I97" s="8"/>
      <c r="J97" s="9"/>
      <c r="K97" s="6"/>
    </row>
    <row r="98" spans="2:11" ht="14.25" outlineLevel="2">
      <c r="B98" s="4"/>
      <c r="C98" s="10"/>
      <c r="D98" s="270" t="s">
        <v>204</v>
      </c>
      <c r="E98" s="5" t="s">
        <v>235</v>
      </c>
      <c r="F98" s="5"/>
      <c r="G98" s="5"/>
      <c r="H98" s="5"/>
      <c r="I98" s="5"/>
      <c r="J98" s="11"/>
      <c r="K98" s="6"/>
    </row>
    <row r="99" spans="2:11" ht="14.25" outlineLevel="2">
      <c r="B99" s="4"/>
      <c r="C99" s="10"/>
      <c r="D99" s="275">
        <v>25</v>
      </c>
      <c r="E99" s="5" t="s">
        <v>105</v>
      </c>
      <c r="F99" s="5"/>
      <c r="G99" s="5"/>
      <c r="H99" s="5"/>
      <c r="I99" s="5"/>
      <c r="J99" s="11"/>
      <c r="K99" s="6"/>
    </row>
    <row r="100" spans="2:11" ht="3.75" customHeight="1" outlineLevel="2">
      <c r="B100" s="4"/>
      <c r="C100" s="10"/>
      <c r="D100" s="5"/>
      <c r="E100" s="5"/>
      <c r="F100" s="5"/>
      <c r="G100" s="5"/>
      <c r="H100" s="5"/>
      <c r="I100" s="5"/>
      <c r="J100" s="11"/>
      <c r="K100" s="6"/>
    </row>
    <row r="101" spans="2:11" ht="14.25" outlineLevel="1">
      <c r="B101" s="4"/>
      <c r="C101" s="372" t="s">
        <v>104</v>
      </c>
      <c r="D101" s="373"/>
      <c r="E101" s="373"/>
      <c r="F101" s="373"/>
      <c r="G101" s="373"/>
      <c r="H101" s="373"/>
      <c r="I101" s="373"/>
      <c r="J101" s="374"/>
      <c r="K101" s="6"/>
    </row>
    <row r="102" spans="2:11" ht="3.75" customHeight="1" outlineLevel="1">
      <c r="B102" s="4"/>
      <c r="C102" s="5"/>
      <c r="D102" s="5"/>
      <c r="E102" s="5"/>
      <c r="F102" s="5"/>
      <c r="G102" s="5"/>
      <c r="H102" s="5"/>
      <c r="I102" s="5"/>
      <c r="J102" s="5"/>
      <c r="K102" s="6"/>
    </row>
    <row r="103" spans="2:11" ht="3" customHeight="1" outlineLevel="2">
      <c r="B103" s="4"/>
      <c r="C103" s="7"/>
      <c r="D103" s="8"/>
      <c r="E103" s="8"/>
      <c r="F103" s="8"/>
      <c r="G103" s="8"/>
      <c r="H103" s="8"/>
      <c r="I103" s="8"/>
      <c r="J103" s="9"/>
      <c r="K103" s="6"/>
    </row>
    <row r="104" spans="2:11" ht="14.25" outlineLevel="2">
      <c r="B104" s="4"/>
      <c r="C104" s="10"/>
      <c r="D104" s="270" t="s">
        <v>204</v>
      </c>
      <c r="E104" s="5" t="s">
        <v>235</v>
      </c>
      <c r="F104" s="5"/>
      <c r="G104" s="5"/>
      <c r="H104" s="5"/>
      <c r="I104" s="5"/>
      <c r="J104" s="11"/>
      <c r="K104" s="6"/>
    </row>
    <row r="105" spans="2:12" ht="30.75" customHeight="1" outlineLevel="2">
      <c r="B105" s="4"/>
      <c r="C105" s="10"/>
      <c r="D105" s="276">
        <v>0.3</v>
      </c>
      <c r="E105" s="361" t="s">
        <v>377</v>
      </c>
      <c r="F105" s="362"/>
      <c r="G105" s="362"/>
      <c r="H105" s="362"/>
      <c r="I105" s="362"/>
      <c r="J105" s="240">
        <f>IF(D105&gt;50%,"literature suggests a maximum of 50% increase","")</f>
      </c>
      <c r="K105" s="6"/>
      <c r="L105" s="121"/>
    </row>
    <row r="106" spans="2:11" ht="3.75" customHeight="1" outlineLevel="2">
      <c r="B106" s="4"/>
      <c r="C106" s="10"/>
      <c r="D106" s="5"/>
      <c r="E106" s="5"/>
      <c r="F106" s="5"/>
      <c r="G106" s="5"/>
      <c r="H106" s="5"/>
      <c r="I106" s="5"/>
      <c r="J106" s="11"/>
      <c r="K106" s="6"/>
    </row>
    <row r="107" spans="2:11" ht="14.25" outlineLevel="1">
      <c r="B107" s="4"/>
      <c r="C107" s="372" t="s">
        <v>79</v>
      </c>
      <c r="D107" s="373"/>
      <c r="E107" s="373"/>
      <c r="F107" s="373"/>
      <c r="G107" s="373"/>
      <c r="H107" s="373"/>
      <c r="I107" s="373"/>
      <c r="J107" s="374"/>
      <c r="K107" s="6"/>
    </row>
    <row r="108" spans="2:11" ht="3.75" customHeight="1" outlineLevel="1" thickBot="1">
      <c r="B108" s="4"/>
      <c r="C108" s="5"/>
      <c r="D108" s="5"/>
      <c r="E108" s="5"/>
      <c r="F108" s="5"/>
      <c r="G108" s="5"/>
      <c r="H108" s="5"/>
      <c r="I108" s="5"/>
      <c r="J108" s="5"/>
      <c r="K108" s="6"/>
    </row>
    <row r="109" spans="2:11" ht="18.75" thickBot="1">
      <c r="B109" s="385" t="s">
        <v>20</v>
      </c>
      <c r="C109" s="386"/>
      <c r="D109" s="386"/>
      <c r="E109" s="386"/>
      <c r="F109" s="386"/>
      <c r="G109" s="386"/>
      <c r="H109" s="386"/>
      <c r="I109" s="386"/>
      <c r="J109" s="386"/>
      <c r="K109" s="387"/>
    </row>
    <row r="110" ht="15" thickBot="1"/>
    <row r="111" spans="2:11" ht="14.25" outlineLevel="1">
      <c r="B111" s="1"/>
      <c r="C111" s="2"/>
      <c r="D111" s="2"/>
      <c r="E111" s="2"/>
      <c r="F111" s="2"/>
      <c r="G111" s="2"/>
      <c r="H111" s="2"/>
      <c r="I111" s="2"/>
      <c r="J111" s="2"/>
      <c r="K111" s="3"/>
    </row>
    <row r="112" spans="2:11" ht="3" customHeight="1" outlineLevel="2">
      <c r="B112" s="4"/>
      <c r="C112" s="7"/>
      <c r="D112" s="8"/>
      <c r="E112" s="8"/>
      <c r="F112" s="8"/>
      <c r="G112" s="8"/>
      <c r="H112" s="8"/>
      <c r="I112" s="8"/>
      <c r="J112" s="9"/>
      <c r="K112" s="6"/>
    </row>
    <row r="113" spans="2:11" ht="14.25" outlineLevel="2">
      <c r="B113" s="4"/>
      <c r="C113" s="10"/>
      <c r="D113" s="270" t="s">
        <v>204</v>
      </c>
      <c r="E113" s="5" t="s">
        <v>235</v>
      </c>
      <c r="F113" s="5"/>
      <c r="G113" s="5"/>
      <c r="H113" s="5"/>
      <c r="I113" s="5"/>
      <c r="J113" s="11"/>
      <c r="K113" s="6"/>
    </row>
    <row r="114" spans="2:12" ht="14.25" outlineLevel="2">
      <c r="B114" s="4"/>
      <c r="C114" s="10"/>
      <c r="D114" s="276">
        <v>0.5</v>
      </c>
      <c r="E114" s="5" t="s">
        <v>212</v>
      </c>
      <c r="F114" s="5"/>
      <c r="G114" s="5"/>
      <c r="H114" s="5"/>
      <c r="I114" s="5"/>
      <c r="J114" s="11"/>
      <c r="K114" s="6"/>
      <c r="L114" s="121"/>
    </row>
    <row r="115" spans="2:12" ht="14.25" outlineLevel="2">
      <c r="B115" s="4"/>
      <c r="C115" s="10"/>
      <c r="D115" s="276">
        <v>0.05</v>
      </c>
      <c r="E115" s="5" t="s">
        <v>388</v>
      </c>
      <c r="F115" s="5"/>
      <c r="G115" s="5"/>
      <c r="H115" s="5"/>
      <c r="I115" s="5"/>
      <c r="J115" s="11"/>
      <c r="K115" s="6"/>
      <c r="L115" s="121"/>
    </row>
    <row r="116" spans="2:11" ht="3.75" customHeight="1" outlineLevel="2">
      <c r="B116" s="4"/>
      <c r="C116" s="10"/>
      <c r="D116" s="5"/>
      <c r="E116" s="5"/>
      <c r="F116" s="5"/>
      <c r="G116" s="5"/>
      <c r="H116" s="5"/>
      <c r="I116" s="5"/>
      <c r="J116" s="11"/>
      <c r="K116" s="6"/>
    </row>
    <row r="117" spans="2:11" ht="15" customHeight="1" outlineLevel="1">
      <c r="B117" s="4"/>
      <c r="C117" s="375" t="s">
        <v>73</v>
      </c>
      <c r="D117" s="375"/>
      <c r="E117" s="375"/>
      <c r="F117" s="375"/>
      <c r="G117" s="375"/>
      <c r="H117" s="375"/>
      <c r="I117" s="375"/>
      <c r="J117" s="375"/>
      <c r="K117" s="6"/>
    </row>
    <row r="118" spans="2:11" ht="3" customHeight="1" outlineLevel="1">
      <c r="B118" s="4"/>
      <c r="C118" s="5"/>
      <c r="D118" s="5"/>
      <c r="E118" s="5"/>
      <c r="F118" s="5"/>
      <c r="G118" s="5"/>
      <c r="H118" s="5"/>
      <c r="I118" s="5"/>
      <c r="J118" s="5"/>
      <c r="K118" s="6"/>
    </row>
    <row r="119" spans="2:11" ht="3" customHeight="1" outlineLevel="2">
      <c r="B119" s="4"/>
      <c r="C119" s="7"/>
      <c r="D119" s="8"/>
      <c r="E119" s="8"/>
      <c r="F119" s="8"/>
      <c r="G119" s="8"/>
      <c r="H119" s="8"/>
      <c r="I119" s="8"/>
      <c r="J119" s="9"/>
      <c r="K119" s="6"/>
    </row>
    <row r="120" spans="2:11" ht="14.25" outlineLevel="2">
      <c r="B120" s="4"/>
      <c r="C120" s="10"/>
      <c r="D120" s="270" t="s">
        <v>204</v>
      </c>
      <c r="E120" s="5" t="s">
        <v>235</v>
      </c>
      <c r="F120" s="5"/>
      <c r="G120" s="5"/>
      <c r="H120" s="5"/>
      <c r="I120" s="5"/>
      <c r="J120" s="11"/>
      <c r="K120" s="6"/>
    </row>
    <row r="121" spans="2:12" ht="14.25" outlineLevel="2">
      <c r="B121" s="4"/>
      <c r="C121" s="10"/>
      <c r="D121" s="277">
        <v>0.5</v>
      </c>
      <c r="E121" s="361" t="s">
        <v>223</v>
      </c>
      <c r="F121" s="362"/>
      <c r="G121" s="362"/>
      <c r="H121" s="362"/>
      <c r="I121" s="362"/>
      <c r="J121" s="391"/>
      <c r="K121" s="241">
        <f>IF(OR(D121&lt;15%,D121&gt;85%),"reasonable ranges from 15% to 85%","")</f>
      </c>
      <c r="L121" s="121"/>
    </row>
    <row r="122" spans="2:12" ht="14.25" outlineLevel="2">
      <c r="B122" s="4"/>
      <c r="C122" s="10"/>
      <c r="D122" s="276">
        <v>0.17</v>
      </c>
      <c r="E122" s="5" t="s">
        <v>388</v>
      </c>
      <c r="F122" s="5"/>
      <c r="G122" s="5"/>
      <c r="H122" s="5"/>
      <c r="I122" s="5"/>
      <c r="J122" s="11"/>
      <c r="K122" s="6"/>
      <c r="L122" s="121"/>
    </row>
    <row r="123" spans="2:12" ht="14.25" outlineLevel="2">
      <c r="B123" s="4"/>
      <c r="C123" s="10"/>
      <c r="D123" s="398" t="s">
        <v>389</v>
      </c>
      <c r="E123" s="398"/>
      <c r="F123" s="398"/>
      <c r="G123" s="398"/>
      <c r="H123" s="5" t="s">
        <v>224</v>
      </c>
      <c r="I123" s="5"/>
      <c r="J123" s="11"/>
      <c r="K123" s="6"/>
      <c r="L123" s="121"/>
    </row>
    <row r="124" spans="2:11" ht="3.75" customHeight="1" outlineLevel="2">
      <c r="B124" s="4"/>
      <c r="C124" s="10"/>
      <c r="D124" s="5"/>
      <c r="E124" s="5"/>
      <c r="F124" s="5"/>
      <c r="G124" s="5"/>
      <c r="H124" s="5"/>
      <c r="I124" s="5"/>
      <c r="J124" s="11"/>
      <c r="K124" s="6"/>
    </row>
    <row r="125" spans="2:11" ht="15" customHeight="1" outlineLevel="1">
      <c r="B125" s="4"/>
      <c r="C125" s="375" t="s">
        <v>76</v>
      </c>
      <c r="D125" s="375"/>
      <c r="E125" s="375"/>
      <c r="F125" s="375"/>
      <c r="G125" s="375"/>
      <c r="H125" s="375"/>
      <c r="I125" s="375"/>
      <c r="J125" s="375"/>
      <c r="K125" s="6"/>
    </row>
    <row r="126" spans="2:11" ht="3" customHeight="1" outlineLevel="1">
      <c r="B126" s="4"/>
      <c r="C126" s="5"/>
      <c r="D126" s="5"/>
      <c r="E126" s="5"/>
      <c r="F126" s="5"/>
      <c r="G126" s="5"/>
      <c r="H126" s="5"/>
      <c r="I126" s="5"/>
      <c r="J126" s="5"/>
      <c r="K126" s="6"/>
    </row>
    <row r="127" spans="2:11" ht="3" customHeight="1" outlineLevel="2">
      <c r="B127" s="4"/>
      <c r="C127" s="7"/>
      <c r="D127" s="8"/>
      <c r="E127" s="8"/>
      <c r="F127" s="8"/>
      <c r="G127" s="8"/>
      <c r="H127" s="8"/>
      <c r="I127" s="8"/>
      <c r="J127" s="9"/>
      <c r="K127" s="6"/>
    </row>
    <row r="128" spans="2:11" ht="14.25" outlineLevel="2">
      <c r="B128" s="4"/>
      <c r="C128" s="10"/>
      <c r="D128" s="270" t="s">
        <v>204</v>
      </c>
      <c r="E128" s="5" t="s">
        <v>235</v>
      </c>
      <c r="F128" s="5"/>
      <c r="G128" s="5"/>
      <c r="H128" s="5"/>
      <c r="I128" s="5"/>
      <c r="J128" s="11"/>
      <c r="K128" s="6"/>
    </row>
    <row r="129" spans="2:12" ht="14.25" outlineLevel="2">
      <c r="B129" s="4"/>
      <c r="C129" s="10"/>
      <c r="D129" s="276">
        <v>0.17</v>
      </c>
      <c r="E129" s="5" t="s">
        <v>388</v>
      </c>
      <c r="F129" s="5"/>
      <c r="G129" s="5"/>
      <c r="H129" s="5"/>
      <c r="I129" s="5"/>
      <c r="J129" s="11"/>
      <c r="K129" s="6"/>
      <c r="L129" s="121"/>
    </row>
    <row r="130" spans="2:12" ht="14.25" outlineLevel="2">
      <c r="B130" s="4"/>
      <c r="C130" s="10"/>
      <c r="D130" s="276">
        <v>0.25</v>
      </c>
      <c r="E130" s="5" t="s">
        <v>391</v>
      </c>
      <c r="F130" s="5"/>
      <c r="G130" s="5"/>
      <c r="H130" s="5"/>
      <c r="I130" s="5"/>
      <c r="J130" s="11"/>
      <c r="K130" s="6"/>
      <c r="L130" s="121"/>
    </row>
    <row r="131" spans="2:11" ht="3.75" customHeight="1" outlineLevel="2">
      <c r="B131" s="4"/>
      <c r="C131" s="10"/>
      <c r="D131" s="5"/>
      <c r="E131" s="5"/>
      <c r="F131" s="5"/>
      <c r="G131" s="5"/>
      <c r="H131" s="5"/>
      <c r="I131" s="5"/>
      <c r="J131" s="11"/>
      <c r="K131" s="6"/>
    </row>
    <row r="132" spans="2:11" ht="15" customHeight="1" outlineLevel="1">
      <c r="B132" s="4"/>
      <c r="C132" s="375" t="s">
        <v>80</v>
      </c>
      <c r="D132" s="375"/>
      <c r="E132" s="375"/>
      <c r="F132" s="375"/>
      <c r="G132" s="375"/>
      <c r="H132" s="375"/>
      <c r="I132" s="375"/>
      <c r="J132" s="375"/>
      <c r="K132" s="6"/>
    </row>
    <row r="133" spans="2:11" ht="3" customHeight="1" outlineLevel="1" thickBot="1">
      <c r="B133" s="4"/>
      <c r="C133" s="5"/>
      <c r="D133" s="5"/>
      <c r="E133" s="5"/>
      <c r="F133" s="5"/>
      <c r="G133" s="5"/>
      <c r="H133" s="5"/>
      <c r="I133" s="5"/>
      <c r="J133" s="5"/>
      <c r="K133" s="6"/>
    </row>
    <row r="134" spans="2:11" ht="18.75" thickBot="1">
      <c r="B134" s="376" t="s">
        <v>21</v>
      </c>
      <c r="C134" s="377"/>
      <c r="D134" s="377"/>
      <c r="E134" s="377"/>
      <c r="F134" s="377"/>
      <c r="G134" s="377"/>
      <c r="H134" s="377"/>
      <c r="I134" s="377"/>
      <c r="J134" s="377"/>
      <c r="K134" s="378"/>
    </row>
    <row r="135" ht="15" thickBot="1"/>
    <row r="136" spans="2:11" ht="14.25" outlineLevel="1">
      <c r="B136" s="1"/>
      <c r="C136" s="2"/>
      <c r="D136" s="2"/>
      <c r="E136" s="2"/>
      <c r="F136" s="2"/>
      <c r="G136" s="2"/>
      <c r="H136" s="2"/>
      <c r="I136" s="2"/>
      <c r="J136" s="2"/>
      <c r="K136" s="3"/>
    </row>
    <row r="137" spans="2:11" ht="3" customHeight="1" outlineLevel="2">
      <c r="B137" s="4"/>
      <c r="C137" s="7"/>
      <c r="D137" s="8"/>
      <c r="E137" s="8"/>
      <c r="F137" s="8"/>
      <c r="G137" s="8"/>
      <c r="H137" s="8"/>
      <c r="I137" s="8"/>
      <c r="J137" s="9"/>
      <c r="K137" s="6"/>
    </row>
    <row r="138" spans="2:11" ht="14.25" outlineLevel="2">
      <c r="B138" s="4"/>
      <c r="C138" s="10"/>
      <c r="D138" s="270" t="s">
        <v>204</v>
      </c>
      <c r="E138" s="5" t="s">
        <v>235</v>
      </c>
      <c r="F138" s="5"/>
      <c r="G138" s="5"/>
      <c r="H138" s="5"/>
      <c r="I138" s="5"/>
      <c r="J138" s="11"/>
      <c r="K138" s="6"/>
    </row>
    <row r="139" spans="2:12" ht="14.25" outlineLevel="2">
      <c r="B139" s="4"/>
      <c r="C139" s="10"/>
      <c r="D139" s="276">
        <v>1</v>
      </c>
      <c r="E139" s="5" t="s">
        <v>240</v>
      </c>
      <c r="F139" s="5"/>
      <c r="G139" s="5"/>
      <c r="H139" s="5"/>
      <c r="I139" s="5"/>
      <c r="J139" s="11"/>
      <c r="K139" s="6"/>
      <c r="L139" s="121"/>
    </row>
    <row r="140" spans="2:11" ht="3.75" customHeight="1" outlineLevel="2">
      <c r="B140" s="4"/>
      <c r="C140" s="10"/>
      <c r="D140" s="5"/>
      <c r="E140" s="5"/>
      <c r="F140" s="5"/>
      <c r="G140" s="5"/>
      <c r="H140" s="5"/>
      <c r="I140" s="5"/>
      <c r="J140" s="11"/>
      <c r="K140" s="6"/>
    </row>
    <row r="141" spans="2:11" ht="15" customHeight="1" outlineLevel="1">
      <c r="B141" s="4"/>
      <c r="C141" s="355" t="s">
        <v>238</v>
      </c>
      <c r="D141" s="356"/>
      <c r="E141" s="356"/>
      <c r="F141" s="356"/>
      <c r="G141" s="356"/>
      <c r="H141" s="356"/>
      <c r="I141" s="356"/>
      <c r="J141" s="357"/>
      <c r="K141" s="6"/>
    </row>
    <row r="142" spans="2:11" ht="3" customHeight="1" outlineLevel="1">
      <c r="B142" s="4"/>
      <c r="C142" s="5"/>
      <c r="D142" s="5"/>
      <c r="E142" s="5"/>
      <c r="F142" s="5"/>
      <c r="G142" s="5"/>
      <c r="H142" s="5"/>
      <c r="I142" s="5"/>
      <c r="J142" s="5"/>
      <c r="K142" s="6"/>
    </row>
    <row r="143" spans="2:11" ht="3" customHeight="1" outlineLevel="2">
      <c r="B143" s="4"/>
      <c r="C143" s="7"/>
      <c r="D143" s="8"/>
      <c r="E143" s="8"/>
      <c r="F143" s="8"/>
      <c r="G143" s="8"/>
      <c r="H143" s="8"/>
      <c r="I143" s="8"/>
      <c r="J143" s="9"/>
      <c r="K143" s="6"/>
    </row>
    <row r="144" spans="2:11" ht="14.25" outlineLevel="2">
      <c r="B144" s="4"/>
      <c r="C144" s="10"/>
      <c r="D144" s="270" t="s">
        <v>204</v>
      </c>
      <c r="E144" s="5" t="s">
        <v>235</v>
      </c>
      <c r="F144" s="5"/>
      <c r="G144" s="5"/>
      <c r="H144" s="5"/>
      <c r="I144" s="5"/>
      <c r="J144" s="11"/>
      <c r="K144" s="6"/>
    </row>
    <row r="145" spans="2:12" ht="14.25" outlineLevel="2">
      <c r="B145" s="4"/>
      <c r="C145" s="10"/>
      <c r="D145" s="276">
        <v>0.5</v>
      </c>
      <c r="E145" s="5" t="s">
        <v>240</v>
      </c>
      <c r="F145" s="5"/>
      <c r="G145" s="5"/>
      <c r="H145" s="5"/>
      <c r="I145" s="5"/>
      <c r="J145" s="11"/>
      <c r="K145" s="6"/>
      <c r="L145" s="121"/>
    </row>
    <row r="146" spans="2:11" ht="3.75" customHeight="1" outlineLevel="2">
      <c r="B146" s="4"/>
      <c r="C146" s="10"/>
      <c r="D146" s="5"/>
      <c r="E146" s="5"/>
      <c r="F146" s="5"/>
      <c r="G146" s="5"/>
      <c r="H146" s="5"/>
      <c r="I146" s="5"/>
      <c r="J146" s="11"/>
      <c r="K146" s="6"/>
    </row>
    <row r="147" spans="2:11" ht="15" customHeight="1" outlineLevel="1">
      <c r="B147" s="4"/>
      <c r="C147" s="355" t="s">
        <v>239</v>
      </c>
      <c r="D147" s="356"/>
      <c r="E147" s="356"/>
      <c r="F147" s="356"/>
      <c r="G147" s="356"/>
      <c r="H147" s="356"/>
      <c r="I147" s="356"/>
      <c r="J147" s="357"/>
      <c r="K147" s="6"/>
    </row>
    <row r="148" spans="2:11" ht="3" customHeight="1" outlineLevel="1">
      <c r="B148" s="4"/>
      <c r="C148" s="5"/>
      <c r="D148" s="5"/>
      <c r="E148" s="5"/>
      <c r="F148" s="5"/>
      <c r="G148" s="5"/>
      <c r="H148" s="5"/>
      <c r="I148" s="5"/>
      <c r="J148" s="5"/>
      <c r="K148" s="6"/>
    </row>
    <row r="149" spans="2:11" ht="3" customHeight="1" outlineLevel="2">
      <c r="B149" s="4"/>
      <c r="C149" s="7"/>
      <c r="D149" s="8"/>
      <c r="E149" s="8"/>
      <c r="F149" s="8"/>
      <c r="G149" s="8"/>
      <c r="H149" s="8"/>
      <c r="I149" s="8"/>
      <c r="J149" s="9"/>
      <c r="K149" s="6"/>
    </row>
    <row r="150" spans="2:11" ht="14.25" outlineLevel="2">
      <c r="B150" s="4"/>
      <c r="C150" s="10"/>
      <c r="D150" s="270" t="s">
        <v>204</v>
      </c>
      <c r="E150" s="5" t="s">
        <v>235</v>
      </c>
      <c r="F150" s="5"/>
      <c r="G150" s="5"/>
      <c r="H150" s="5"/>
      <c r="I150" s="5"/>
      <c r="J150" s="11"/>
      <c r="K150" s="6"/>
    </row>
    <row r="151" spans="2:12" ht="14.25" outlineLevel="2">
      <c r="B151" s="4"/>
      <c r="C151" s="10"/>
      <c r="D151" s="276">
        <v>1</v>
      </c>
      <c r="E151" s="5" t="s">
        <v>240</v>
      </c>
      <c r="F151" s="5"/>
      <c r="G151" s="5"/>
      <c r="H151" s="5"/>
      <c r="I151" s="5"/>
      <c r="J151" s="11"/>
      <c r="K151" s="6"/>
      <c r="L151" s="121"/>
    </row>
    <row r="152" spans="2:12" ht="14.25" outlineLevel="2">
      <c r="B152" s="4"/>
      <c r="C152" s="10"/>
      <c r="D152" s="278">
        <v>1.49</v>
      </c>
      <c r="E152" s="5" t="s">
        <v>393</v>
      </c>
      <c r="F152" s="5"/>
      <c r="G152" s="5"/>
      <c r="H152" s="5"/>
      <c r="I152" s="5"/>
      <c r="J152" s="11"/>
      <c r="K152" s="6"/>
      <c r="L152" s="121"/>
    </row>
    <row r="153" spans="2:11" ht="3.75" customHeight="1" outlineLevel="2">
      <c r="B153" s="4"/>
      <c r="C153" s="10"/>
      <c r="D153" s="5"/>
      <c r="E153" s="5"/>
      <c r="F153" s="5"/>
      <c r="G153" s="5"/>
      <c r="H153" s="5"/>
      <c r="I153" s="5"/>
      <c r="J153" s="11"/>
      <c r="K153" s="6"/>
    </row>
    <row r="154" spans="2:11" ht="15" customHeight="1" outlineLevel="1">
      <c r="B154" s="4"/>
      <c r="C154" s="355" t="s">
        <v>77</v>
      </c>
      <c r="D154" s="356"/>
      <c r="E154" s="356"/>
      <c r="F154" s="356"/>
      <c r="G154" s="356"/>
      <c r="H154" s="356"/>
      <c r="I154" s="356"/>
      <c r="J154" s="357"/>
      <c r="K154" s="6"/>
    </row>
    <row r="155" spans="2:11" ht="3" customHeight="1" outlineLevel="1">
      <c r="B155" s="4"/>
      <c r="C155" s="5"/>
      <c r="D155" s="5"/>
      <c r="E155" s="5"/>
      <c r="F155" s="5"/>
      <c r="G155" s="5"/>
      <c r="H155" s="5"/>
      <c r="I155" s="5"/>
      <c r="J155" s="5"/>
      <c r="K155" s="6"/>
    </row>
    <row r="156" spans="2:11" ht="3" customHeight="1" outlineLevel="2">
      <c r="B156" s="4"/>
      <c r="C156" s="7"/>
      <c r="D156" s="8"/>
      <c r="E156" s="8"/>
      <c r="F156" s="8"/>
      <c r="G156" s="8"/>
      <c r="H156" s="8"/>
      <c r="I156" s="8"/>
      <c r="J156" s="9"/>
      <c r="K156" s="6"/>
    </row>
    <row r="157" spans="2:11" ht="14.25" outlineLevel="2">
      <c r="B157" s="4"/>
      <c r="C157" s="10"/>
      <c r="D157" s="270" t="s">
        <v>204</v>
      </c>
      <c r="E157" s="5" t="s">
        <v>235</v>
      </c>
      <c r="F157" s="5"/>
      <c r="G157" s="5"/>
      <c r="H157" s="5"/>
      <c r="I157" s="5"/>
      <c r="J157" s="11"/>
      <c r="K157" s="6"/>
    </row>
    <row r="158" spans="2:12" ht="14.25" outlineLevel="2">
      <c r="B158" s="4"/>
      <c r="C158" s="10"/>
      <c r="D158" s="276">
        <v>0.5</v>
      </c>
      <c r="E158" s="5" t="s">
        <v>240</v>
      </c>
      <c r="F158" s="5"/>
      <c r="G158" s="5"/>
      <c r="H158" s="5"/>
      <c r="I158" s="5"/>
      <c r="J158" s="11"/>
      <c r="K158" s="6"/>
      <c r="L158" s="121"/>
    </row>
    <row r="159" spans="2:11" ht="3.75" customHeight="1" outlineLevel="2">
      <c r="B159" s="4"/>
      <c r="C159" s="10"/>
      <c r="D159" s="5"/>
      <c r="E159" s="5"/>
      <c r="F159" s="5"/>
      <c r="G159" s="5"/>
      <c r="H159" s="5"/>
      <c r="I159" s="5"/>
      <c r="J159" s="11"/>
      <c r="K159" s="6"/>
    </row>
    <row r="160" spans="2:11" ht="15" customHeight="1" outlineLevel="1">
      <c r="B160" s="4"/>
      <c r="C160" s="355" t="s">
        <v>81</v>
      </c>
      <c r="D160" s="356"/>
      <c r="E160" s="356"/>
      <c r="F160" s="356"/>
      <c r="G160" s="356"/>
      <c r="H160" s="356"/>
      <c r="I160" s="356"/>
      <c r="J160" s="357"/>
      <c r="K160" s="6"/>
    </row>
    <row r="161" spans="2:11" ht="3" customHeight="1" outlineLevel="1">
      <c r="B161" s="4"/>
      <c r="C161" s="5"/>
      <c r="D161" s="5"/>
      <c r="E161" s="5"/>
      <c r="F161" s="5"/>
      <c r="G161" s="5"/>
      <c r="H161" s="5"/>
      <c r="I161" s="5"/>
      <c r="J161" s="5"/>
      <c r="K161" s="6"/>
    </row>
    <row r="162" spans="2:11" ht="3" customHeight="1" outlineLevel="2">
      <c r="B162" s="4"/>
      <c r="C162" s="7"/>
      <c r="D162" s="8"/>
      <c r="E162" s="8"/>
      <c r="F162" s="8"/>
      <c r="G162" s="8"/>
      <c r="H162" s="8"/>
      <c r="I162" s="8"/>
      <c r="J162" s="9"/>
      <c r="K162" s="6"/>
    </row>
    <row r="163" spans="2:11" ht="14.25" outlineLevel="2">
      <c r="B163" s="4"/>
      <c r="C163" s="10"/>
      <c r="D163" s="270" t="s">
        <v>204</v>
      </c>
      <c r="E163" s="5" t="s">
        <v>235</v>
      </c>
      <c r="F163" s="5"/>
      <c r="G163" s="5"/>
      <c r="H163" s="5"/>
      <c r="I163" s="5"/>
      <c r="J163" s="11"/>
      <c r="K163" s="6"/>
    </row>
    <row r="164" spans="2:12" ht="14.25" outlineLevel="2">
      <c r="B164" s="4"/>
      <c r="C164" s="10"/>
      <c r="D164" s="278">
        <v>2</v>
      </c>
      <c r="E164" s="5" t="s">
        <v>252</v>
      </c>
      <c r="F164" s="5"/>
      <c r="G164" s="5"/>
      <c r="H164" s="5"/>
      <c r="I164" s="5"/>
      <c r="J164" s="11"/>
      <c r="K164" s="6"/>
      <c r="L164" s="121"/>
    </row>
    <row r="165" spans="2:12" ht="14.25" outlineLevel="2">
      <c r="B165" s="4"/>
      <c r="C165" s="10"/>
      <c r="D165" s="276">
        <v>1</v>
      </c>
      <c r="E165" s="5" t="s">
        <v>253</v>
      </c>
      <c r="F165" s="5"/>
      <c r="G165" s="5"/>
      <c r="H165" s="5"/>
      <c r="I165" s="5"/>
      <c r="J165" s="11"/>
      <c r="K165" s="6"/>
      <c r="L165" s="121"/>
    </row>
    <row r="166" spans="2:11" ht="3.75" customHeight="1" outlineLevel="2">
      <c r="B166" s="4"/>
      <c r="C166" s="10"/>
      <c r="D166" s="5"/>
      <c r="E166" s="5"/>
      <c r="F166" s="5"/>
      <c r="G166" s="5"/>
      <c r="H166" s="5"/>
      <c r="I166" s="5"/>
      <c r="J166" s="11"/>
      <c r="K166" s="6"/>
    </row>
    <row r="167" spans="2:11" ht="15" customHeight="1" outlineLevel="1">
      <c r="B167" s="4"/>
      <c r="C167" s="355" t="s">
        <v>84</v>
      </c>
      <c r="D167" s="356"/>
      <c r="E167" s="356"/>
      <c r="F167" s="356"/>
      <c r="G167" s="356"/>
      <c r="H167" s="356"/>
      <c r="I167" s="356"/>
      <c r="J167" s="357"/>
      <c r="K167" s="6"/>
    </row>
    <row r="168" spans="2:11" ht="3" customHeight="1" outlineLevel="1">
      <c r="B168" s="4"/>
      <c r="C168" s="5"/>
      <c r="D168" s="5"/>
      <c r="E168" s="5"/>
      <c r="F168" s="5"/>
      <c r="G168" s="5"/>
      <c r="H168" s="5"/>
      <c r="I168" s="5"/>
      <c r="J168" s="5"/>
      <c r="K168" s="6"/>
    </row>
    <row r="169" spans="2:11" ht="3" customHeight="1" outlineLevel="2">
      <c r="B169" s="4"/>
      <c r="C169" s="7"/>
      <c r="D169" s="8"/>
      <c r="E169" s="8"/>
      <c r="F169" s="8"/>
      <c r="G169" s="8"/>
      <c r="H169" s="8"/>
      <c r="I169" s="8"/>
      <c r="J169" s="9"/>
      <c r="K169" s="6"/>
    </row>
    <row r="170" spans="2:11" ht="14.25" outlineLevel="2">
      <c r="B170" s="4"/>
      <c r="C170" s="10"/>
      <c r="D170" s="270" t="s">
        <v>204</v>
      </c>
      <c r="E170" s="5" t="s">
        <v>235</v>
      </c>
      <c r="F170" s="5"/>
      <c r="G170" s="5"/>
      <c r="H170" s="5"/>
      <c r="I170" s="5"/>
      <c r="J170" s="11"/>
      <c r="K170" s="6"/>
    </row>
    <row r="171" spans="2:12" ht="14.25" outlineLevel="2">
      <c r="B171" s="4"/>
      <c r="C171" s="10"/>
      <c r="D171" s="277">
        <v>0.05</v>
      </c>
      <c r="E171" s="5" t="s">
        <v>325</v>
      </c>
      <c r="F171" s="5"/>
      <c r="G171" s="5"/>
      <c r="H171" s="5"/>
      <c r="I171" s="5"/>
      <c r="J171" s="240"/>
      <c r="K171" s="6"/>
      <c r="L171" s="121"/>
    </row>
    <row r="172" spans="2:12" ht="14.25" outlineLevel="2">
      <c r="B172" s="4"/>
      <c r="C172" s="10"/>
      <c r="D172" s="395" t="s">
        <v>256</v>
      </c>
      <c r="E172" s="396"/>
      <c r="F172" s="397"/>
      <c r="G172" s="5" t="s">
        <v>255</v>
      </c>
      <c r="H172" s="5"/>
      <c r="I172" s="5"/>
      <c r="J172" s="11"/>
      <c r="K172" s="6"/>
      <c r="L172" s="121"/>
    </row>
    <row r="173" spans="2:11" ht="3.75" customHeight="1" outlineLevel="2">
      <c r="B173" s="4"/>
      <c r="C173" s="10"/>
      <c r="D173" s="5"/>
      <c r="E173" s="5"/>
      <c r="F173" s="5"/>
      <c r="G173" s="5"/>
      <c r="H173" s="5"/>
      <c r="I173" s="5"/>
      <c r="J173" s="11"/>
      <c r="K173" s="6"/>
    </row>
    <row r="174" spans="2:11" ht="15" customHeight="1" outlineLevel="1">
      <c r="B174" s="4"/>
      <c r="C174" s="355" t="s">
        <v>85</v>
      </c>
      <c r="D174" s="356"/>
      <c r="E174" s="356"/>
      <c r="F174" s="356"/>
      <c r="G174" s="356"/>
      <c r="H174" s="356"/>
      <c r="I174" s="356"/>
      <c r="J174" s="357"/>
      <c r="K174" s="6"/>
    </row>
    <row r="175" spans="2:11" ht="3" customHeight="1" outlineLevel="1">
      <c r="B175" s="4"/>
      <c r="C175" s="5"/>
      <c r="D175" s="5"/>
      <c r="E175" s="5"/>
      <c r="F175" s="5"/>
      <c r="G175" s="5"/>
      <c r="H175" s="5"/>
      <c r="I175" s="5"/>
      <c r="J175" s="5"/>
      <c r="K175" s="6"/>
    </row>
    <row r="176" spans="2:11" ht="3" customHeight="1" outlineLevel="2">
      <c r="B176" s="4"/>
      <c r="C176" s="7"/>
      <c r="D176" s="8"/>
      <c r="E176" s="8"/>
      <c r="F176" s="8"/>
      <c r="G176" s="8"/>
      <c r="H176" s="8"/>
      <c r="I176" s="8"/>
      <c r="J176" s="9"/>
      <c r="K176" s="6"/>
    </row>
    <row r="177" spans="2:11" ht="14.25" outlineLevel="2">
      <c r="B177" s="4"/>
      <c r="C177" s="10"/>
      <c r="D177" s="270" t="s">
        <v>204</v>
      </c>
      <c r="E177" s="5" t="s">
        <v>235</v>
      </c>
      <c r="F177" s="5"/>
      <c r="G177" s="5"/>
      <c r="H177" s="5"/>
      <c r="I177" s="5"/>
      <c r="J177" s="11"/>
      <c r="K177" s="6"/>
    </row>
    <row r="178" spans="2:12" ht="14.25" outlineLevel="2">
      <c r="B178" s="4"/>
      <c r="C178" s="10"/>
      <c r="D178" s="276">
        <v>1</v>
      </c>
      <c r="E178" s="5" t="s">
        <v>240</v>
      </c>
      <c r="F178" s="5"/>
      <c r="G178" s="5"/>
      <c r="H178" s="5"/>
      <c r="I178" s="5"/>
      <c r="J178" s="11"/>
      <c r="K178" s="6"/>
      <c r="L178" s="121"/>
    </row>
    <row r="179" spans="2:11" ht="3.75" customHeight="1" outlineLevel="2">
      <c r="B179" s="4"/>
      <c r="C179" s="10"/>
      <c r="D179" s="5"/>
      <c r="E179" s="5"/>
      <c r="F179" s="5"/>
      <c r="G179" s="5"/>
      <c r="H179" s="5"/>
      <c r="I179" s="5"/>
      <c r="J179" s="11"/>
      <c r="K179" s="6"/>
    </row>
    <row r="180" spans="2:11" ht="15" customHeight="1" outlineLevel="1">
      <c r="B180" s="4"/>
      <c r="C180" s="355" t="s">
        <v>86</v>
      </c>
      <c r="D180" s="356"/>
      <c r="E180" s="356"/>
      <c r="F180" s="356"/>
      <c r="G180" s="356"/>
      <c r="H180" s="356"/>
      <c r="I180" s="356"/>
      <c r="J180" s="357"/>
      <c r="K180" s="6"/>
    </row>
    <row r="181" spans="2:11" ht="3" customHeight="1" outlineLevel="1">
      <c r="B181" s="4"/>
      <c r="C181" s="5"/>
      <c r="D181" s="5"/>
      <c r="E181" s="5"/>
      <c r="F181" s="5"/>
      <c r="G181" s="5"/>
      <c r="H181" s="5"/>
      <c r="I181" s="5"/>
      <c r="J181" s="5"/>
      <c r="K181" s="6"/>
    </row>
    <row r="182" spans="2:11" ht="3" customHeight="1" outlineLevel="2">
      <c r="B182" s="4"/>
      <c r="C182" s="7"/>
      <c r="D182" s="8"/>
      <c r="E182" s="8"/>
      <c r="F182" s="8"/>
      <c r="G182" s="8"/>
      <c r="H182" s="8"/>
      <c r="I182" s="8"/>
      <c r="J182" s="9"/>
      <c r="K182" s="6"/>
    </row>
    <row r="183" spans="2:11" ht="14.25" outlineLevel="2">
      <c r="B183" s="4"/>
      <c r="C183" s="10"/>
      <c r="D183" s="274" t="s">
        <v>204</v>
      </c>
      <c r="E183" s="5" t="s">
        <v>235</v>
      </c>
      <c r="F183" s="5"/>
      <c r="G183" s="5"/>
      <c r="H183" s="5"/>
      <c r="I183" s="5"/>
      <c r="J183" s="11"/>
      <c r="K183" s="6"/>
    </row>
    <row r="184" spans="2:12" ht="14.25" outlineLevel="2">
      <c r="B184" s="4"/>
      <c r="C184" s="10"/>
      <c r="D184" s="279" t="s">
        <v>274</v>
      </c>
      <c r="E184" s="5" t="s">
        <v>266</v>
      </c>
      <c r="F184" s="5"/>
      <c r="G184" s="5"/>
      <c r="H184" s="5"/>
      <c r="I184" s="5"/>
      <c r="J184" s="11"/>
      <c r="K184" s="6"/>
      <c r="L184" s="121"/>
    </row>
    <row r="185" spans="2:12" ht="14.25" outlineLevel="2">
      <c r="B185" s="4"/>
      <c r="C185" s="10"/>
      <c r="D185" s="341"/>
      <c r="E185" s="339" t="s">
        <v>442</v>
      </c>
      <c r="F185" s="5"/>
      <c r="G185" s="5"/>
      <c r="H185" s="5"/>
      <c r="I185" s="5"/>
      <c r="J185" s="11"/>
      <c r="K185" s="6"/>
      <c r="L185" s="121"/>
    </row>
    <row r="186" spans="2:12" ht="14.25" outlineLevel="2">
      <c r="B186" s="4"/>
      <c r="C186" s="10"/>
      <c r="D186" s="279" t="s">
        <v>274</v>
      </c>
      <c r="E186" s="5" t="s">
        <v>267</v>
      </c>
      <c r="F186" s="5"/>
      <c r="G186" s="5"/>
      <c r="H186" s="5"/>
      <c r="I186" s="5"/>
      <c r="J186" s="11"/>
      <c r="K186" s="6"/>
      <c r="L186" s="121"/>
    </row>
    <row r="187" spans="2:12" ht="14.25" outlineLevel="2">
      <c r="B187" s="4"/>
      <c r="C187" s="10"/>
      <c r="D187" s="341"/>
      <c r="E187" s="339" t="s">
        <v>443</v>
      </c>
      <c r="F187" s="5"/>
      <c r="G187" s="5"/>
      <c r="H187" s="5"/>
      <c r="I187" s="5"/>
      <c r="J187" s="11"/>
      <c r="K187" s="6"/>
      <c r="L187" s="121"/>
    </row>
    <row r="188" spans="2:12" ht="14.25" outlineLevel="2">
      <c r="B188" s="4"/>
      <c r="C188" s="10"/>
      <c r="D188" s="276">
        <v>0.5</v>
      </c>
      <c r="E188" s="5" t="s">
        <v>240</v>
      </c>
      <c r="F188" s="5"/>
      <c r="G188" s="5"/>
      <c r="H188" s="5"/>
      <c r="I188" s="5"/>
      <c r="J188" s="11"/>
      <c r="K188" s="6"/>
      <c r="L188" s="121"/>
    </row>
    <row r="189" spans="2:11" ht="3.75" customHeight="1" outlineLevel="2">
      <c r="B189" s="4"/>
      <c r="C189" s="10"/>
      <c r="D189" s="5"/>
      <c r="E189" s="5"/>
      <c r="F189" s="5"/>
      <c r="G189" s="5"/>
      <c r="H189" s="5"/>
      <c r="I189" s="5"/>
      <c r="J189" s="11"/>
      <c r="K189" s="6"/>
    </row>
    <row r="190" spans="2:11" ht="15" customHeight="1" outlineLevel="1">
      <c r="B190" s="4"/>
      <c r="C190" s="355" t="s">
        <v>236</v>
      </c>
      <c r="D190" s="356"/>
      <c r="E190" s="356"/>
      <c r="F190" s="356"/>
      <c r="G190" s="356"/>
      <c r="H190" s="356"/>
      <c r="I190" s="356"/>
      <c r="J190" s="357"/>
      <c r="K190" s="6"/>
    </row>
    <row r="191" spans="2:11" ht="3" customHeight="1" outlineLevel="1">
      <c r="B191" s="4"/>
      <c r="C191" s="5"/>
      <c r="D191" s="5"/>
      <c r="E191" s="5"/>
      <c r="F191" s="5"/>
      <c r="G191" s="5"/>
      <c r="H191" s="5"/>
      <c r="I191" s="5"/>
      <c r="J191" s="5"/>
      <c r="K191" s="6"/>
    </row>
    <row r="192" spans="2:11" ht="3" customHeight="1" outlineLevel="2">
      <c r="B192" s="4"/>
      <c r="C192" s="7"/>
      <c r="D192" s="8"/>
      <c r="E192" s="8"/>
      <c r="F192" s="8"/>
      <c r="G192" s="8"/>
      <c r="H192" s="8"/>
      <c r="I192" s="8"/>
      <c r="J192" s="9"/>
      <c r="K192" s="6"/>
    </row>
    <row r="193" spans="2:11" ht="14.25" outlineLevel="2">
      <c r="B193" s="4"/>
      <c r="C193" s="10"/>
      <c r="D193" s="270" t="s">
        <v>204</v>
      </c>
      <c r="E193" s="5" t="s">
        <v>235</v>
      </c>
      <c r="F193" s="5"/>
      <c r="G193" s="5"/>
      <c r="H193" s="5"/>
      <c r="I193" s="5"/>
      <c r="J193" s="11"/>
      <c r="K193" s="6"/>
    </row>
    <row r="194" spans="2:12" ht="14.25" outlineLevel="2">
      <c r="B194" s="4"/>
      <c r="C194" s="10"/>
      <c r="D194" s="276">
        <v>0.5</v>
      </c>
      <c r="E194" s="5" t="s">
        <v>240</v>
      </c>
      <c r="F194" s="5"/>
      <c r="G194" s="5"/>
      <c r="H194" s="5"/>
      <c r="I194" s="5"/>
      <c r="J194" s="11"/>
      <c r="K194" s="6"/>
      <c r="L194" s="121"/>
    </row>
    <row r="195" spans="2:11" ht="3.75" customHeight="1" outlineLevel="2">
      <c r="B195" s="4"/>
      <c r="C195" s="10"/>
      <c r="D195" s="5"/>
      <c r="E195" s="5"/>
      <c r="F195" s="5"/>
      <c r="G195" s="5"/>
      <c r="H195" s="5"/>
      <c r="I195" s="5"/>
      <c r="J195" s="11"/>
      <c r="K195" s="6"/>
    </row>
    <row r="196" spans="2:11" ht="15" customHeight="1" outlineLevel="1">
      <c r="B196" s="4"/>
      <c r="C196" s="355" t="s">
        <v>237</v>
      </c>
      <c r="D196" s="356"/>
      <c r="E196" s="356"/>
      <c r="F196" s="356"/>
      <c r="G196" s="356"/>
      <c r="H196" s="356"/>
      <c r="I196" s="356"/>
      <c r="J196" s="357"/>
      <c r="K196" s="6"/>
    </row>
    <row r="197" spans="2:11" ht="3" customHeight="1" outlineLevel="1">
      <c r="B197" s="4"/>
      <c r="C197" s="5"/>
      <c r="D197" s="5"/>
      <c r="E197" s="5"/>
      <c r="F197" s="5"/>
      <c r="G197" s="5"/>
      <c r="H197" s="5"/>
      <c r="I197" s="5"/>
      <c r="J197" s="5"/>
      <c r="K197" s="6"/>
    </row>
    <row r="198" spans="2:11" ht="3" customHeight="1" outlineLevel="2">
      <c r="B198" s="4"/>
      <c r="C198" s="7"/>
      <c r="D198" s="8"/>
      <c r="E198" s="8"/>
      <c r="F198" s="8"/>
      <c r="G198" s="8"/>
      <c r="H198" s="8"/>
      <c r="I198" s="8"/>
      <c r="J198" s="9"/>
      <c r="K198" s="6"/>
    </row>
    <row r="199" spans="2:11" ht="14.25" outlineLevel="2">
      <c r="B199" s="4"/>
      <c r="C199" s="10"/>
      <c r="D199" s="270" t="s">
        <v>204</v>
      </c>
      <c r="E199" s="5" t="s">
        <v>235</v>
      </c>
      <c r="F199" s="5"/>
      <c r="G199" s="5"/>
      <c r="H199" s="5"/>
      <c r="I199" s="5"/>
      <c r="J199" s="11"/>
      <c r="K199" s="6"/>
    </row>
    <row r="200" spans="2:12" ht="14.25" outlineLevel="2">
      <c r="B200" s="4"/>
      <c r="C200" s="10"/>
      <c r="D200" s="279" t="s">
        <v>273</v>
      </c>
      <c r="E200" s="5" t="s">
        <v>266</v>
      </c>
      <c r="F200" s="5"/>
      <c r="G200" s="5"/>
      <c r="H200" s="5"/>
      <c r="I200" s="5"/>
      <c r="J200" s="11"/>
      <c r="K200" s="6"/>
      <c r="L200" s="121"/>
    </row>
    <row r="201" spans="2:12" ht="19.5" customHeight="1" outlineLevel="2">
      <c r="B201" s="4"/>
      <c r="C201" s="10"/>
      <c r="D201" s="5"/>
      <c r="E201" s="392" t="s">
        <v>444</v>
      </c>
      <c r="F201" s="392"/>
      <c r="G201" s="392"/>
      <c r="H201" s="392"/>
      <c r="I201" s="392"/>
      <c r="J201" s="11"/>
      <c r="K201" s="6"/>
      <c r="L201" s="121"/>
    </row>
    <row r="202" spans="2:12" ht="19.5" customHeight="1" outlineLevel="2">
      <c r="B202" s="4"/>
      <c r="C202" s="10"/>
      <c r="D202" s="5"/>
      <c r="E202" s="392"/>
      <c r="F202" s="392"/>
      <c r="G202" s="392"/>
      <c r="H202" s="392"/>
      <c r="I202" s="392"/>
      <c r="J202" s="11"/>
      <c r="K202" s="6"/>
      <c r="L202" s="121"/>
    </row>
    <row r="203" spans="2:12" ht="19.5" customHeight="1" outlineLevel="2">
      <c r="B203" s="4"/>
      <c r="C203" s="10"/>
      <c r="D203" s="5"/>
      <c r="E203" s="392"/>
      <c r="F203" s="392"/>
      <c r="G203" s="392"/>
      <c r="H203" s="392"/>
      <c r="I203" s="392"/>
      <c r="J203" s="11"/>
      <c r="K203" s="6"/>
      <c r="L203" s="121"/>
    </row>
    <row r="204" spans="2:11" ht="3.75" customHeight="1" outlineLevel="2">
      <c r="B204" s="4"/>
      <c r="C204" s="10"/>
      <c r="D204" s="5"/>
      <c r="E204" s="5"/>
      <c r="F204" s="5"/>
      <c r="G204" s="5"/>
      <c r="H204" s="5"/>
      <c r="I204" s="5"/>
      <c r="J204" s="11"/>
      <c r="K204" s="6"/>
    </row>
    <row r="205" spans="2:11" ht="15" customHeight="1" outlineLevel="1">
      <c r="B205" s="4"/>
      <c r="C205" s="352" t="s">
        <v>89</v>
      </c>
      <c r="D205" s="353"/>
      <c r="E205" s="353"/>
      <c r="F205" s="353"/>
      <c r="G205" s="353"/>
      <c r="H205" s="353"/>
      <c r="I205" s="353"/>
      <c r="J205" s="354"/>
      <c r="K205" s="6"/>
    </row>
    <row r="206" spans="2:11" ht="3" customHeight="1" outlineLevel="1">
      <c r="B206" s="4"/>
      <c r="C206" s="5"/>
      <c r="D206" s="5"/>
      <c r="E206" s="5"/>
      <c r="F206" s="5"/>
      <c r="G206" s="5"/>
      <c r="H206" s="5"/>
      <c r="I206" s="5"/>
      <c r="J206" s="5"/>
      <c r="K206" s="6"/>
    </row>
    <row r="207" spans="2:11" ht="3" customHeight="1" outlineLevel="2">
      <c r="B207" s="4"/>
      <c r="C207" s="7"/>
      <c r="D207" s="8"/>
      <c r="E207" s="8"/>
      <c r="F207" s="8"/>
      <c r="G207" s="8"/>
      <c r="H207" s="8"/>
      <c r="I207" s="8"/>
      <c r="J207" s="9"/>
      <c r="K207" s="6"/>
    </row>
    <row r="208" spans="2:11" ht="14.25" outlineLevel="2">
      <c r="B208" s="4"/>
      <c r="C208" s="10"/>
      <c r="D208" s="270" t="s">
        <v>204</v>
      </c>
      <c r="E208" s="5" t="s">
        <v>235</v>
      </c>
      <c r="F208" s="5"/>
      <c r="G208" s="5"/>
      <c r="H208" s="5"/>
      <c r="I208" s="5"/>
      <c r="J208" s="11"/>
      <c r="K208" s="6"/>
    </row>
    <row r="209" spans="2:12" ht="14.25" outlineLevel="2">
      <c r="B209" s="4"/>
      <c r="C209" s="10"/>
      <c r="D209" s="276">
        <v>0.5</v>
      </c>
      <c r="E209" s="5" t="s">
        <v>445</v>
      </c>
      <c r="F209" s="5"/>
      <c r="G209" s="5"/>
      <c r="H209" s="5"/>
      <c r="I209" s="5"/>
      <c r="J209" s="11"/>
      <c r="K209" s="241">
        <f>IF(D209&gt;84%,"literature suggests a maximum of 84%","")</f>
      </c>
      <c r="L209" s="121"/>
    </row>
    <row r="210" spans="2:11" ht="3.75" customHeight="1" outlineLevel="2">
      <c r="B210" s="4"/>
      <c r="C210" s="10"/>
      <c r="D210" s="5"/>
      <c r="E210" s="5"/>
      <c r="F210" s="5"/>
      <c r="G210" s="5"/>
      <c r="H210" s="5"/>
      <c r="I210" s="5"/>
      <c r="J210" s="11"/>
      <c r="K210" s="6"/>
    </row>
    <row r="211" spans="2:11" ht="15" customHeight="1" outlineLevel="1">
      <c r="B211" s="4"/>
      <c r="C211" s="352" t="s">
        <v>90</v>
      </c>
      <c r="D211" s="353"/>
      <c r="E211" s="353"/>
      <c r="F211" s="353"/>
      <c r="G211" s="353"/>
      <c r="H211" s="353"/>
      <c r="I211" s="353"/>
      <c r="J211" s="354"/>
      <c r="K211" s="6"/>
    </row>
    <row r="212" spans="2:11" ht="3" customHeight="1" outlineLevel="1" thickBot="1">
      <c r="B212" s="4"/>
      <c r="C212" s="5"/>
      <c r="D212" s="5"/>
      <c r="E212" s="5"/>
      <c r="F212" s="5"/>
      <c r="G212" s="5"/>
      <c r="H212" s="5"/>
      <c r="I212" s="5"/>
      <c r="J212" s="5"/>
      <c r="K212" s="6"/>
    </row>
    <row r="213" spans="2:11" ht="18.75" thickBot="1">
      <c r="B213" s="366" t="s">
        <v>22</v>
      </c>
      <c r="C213" s="367"/>
      <c r="D213" s="367"/>
      <c r="E213" s="367"/>
      <c r="F213" s="367"/>
      <c r="G213" s="367"/>
      <c r="H213" s="367"/>
      <c r="I213" s="367"/>
      <c r="J213" s="367"/>
      <c r="K213" s="368"/>
    </row>
    <row r="216" ht="14.25">
      <c r="B216" s="74" t="s">
        <v>458</v>
      </c>
    </row>
    <row r="217" ht="14.25">
      <c r="B217" s="74"/>
    </row>
    <row r="218" ht="14.25">
      <c r="B218" s="74" t="s">
        <v>187</v>
      </c>
    </row>
    <row r="219" ht="14.25" hidden="1">
      <c r="B219" s="172" t="s">
        <v>182</v>
      </c>
    </row>
    <row r="220" spans="2:17" ht="14.25" hidden="1">
      <c r="B220" s="7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9"/>
    </row>
    <row r="221" spans="2:17" ht="72" hidden="1">
      <c r="B221" s="153" t="s">
        <v>213</v>
      </c>
      <c r="C221" s="152" t="s">
        <v>129</v>
      </c>
      <c r="D221" s="152" t="s">
        <v>190</v>
      </c>
      <c r="E221" s="72">
        <v>0.25</v>
      </c>
      <c r="F221" s="152" t="s">
        <v>390</v>
      </c>
      <c r="G221" s="191">
        <v>0.75</v>
      </c>
      <c r="H221" s="200">
        <v>1</v>
      </c>
      <c r="I221" s="130" t="s">
        <v>256</v>
      </c>
      <c r="J221" s="5" t="s">
        <v>203</v>
      </c>
      <c r="K221" s="5" t="s">
        <v>273</v>
      </c>
      <c r="L221" t="s">
        <v>276</v>
      </c>
      <c r="M221" s="5" t="s">
        <v>306</v>
      </c>
      <c r="N221" s="13" t="s">
        <v>307</v>
      </c>
      <c r="O221" s="13" t="s">
        <v>310</v>
      </c>
      <c r="P221" s="243">
        <v>0.01</v>
      </c>
      <c r="Q221" s="11"/>
    </row>
    <row r="222" spans="2:17" ht="72" hidden="1">
      <c r="B222" s="153" t="s">
        <v>122</v>
      </c>
      <c r="C222" s="152" t="s">
        <v>130</v>
      </c>
      <c r="D222" s="152" t="s">
        <v>191</v>
      </c>
      <c r="E222" s="72">
        <v>0.5</v>
      </c>
      <c r="F222" s="152" t="s">
        <v>389</v>
      </c>
      <c r="G222" s="191">
        <v>1.49</v>
      </c>
      <c r="H222" s="200">
        <v>2</v>
      </c>
      <c r="I222" s="130" t="s">
        <v>257</v>
      </c>
      <c r="J222" s="5" t="s">
        <v>204</v>
      </c>
      <c r="K222" s="5" t="s">
        <v>274</v>
      </c>
      <c r="L222" t="s">
        <v>274</v>
      </c>
      <c r="M222" s="5" t="s">
        <v>305</v>
      </c>
      <c r="N222" s="13" t="s">
        <v>308</v>
      </c>
      <c r="O222" s="13" t="s">
        <v>323</v>
      </c>
      <c r="P222" s="243">
        <v>0.03</v>
      </c>
      <c r="Q222" s="11"/>
    </row>
    <row r="223" spans="2:17" ht="57.75" hidden="1">
      <c r="B223" s="153" t="s">
        <v>185</v>
      </c>
      <c r="C223" s="5"/>
      <c r="D223" s="5"/>
      <c r="E223" s="72">
        <v>0.75</v>
      </c>
      <c r="F223" s="5"/>
      <c r="G223" s="191">
        <v>2.98</v>
      </c>
      <c r="H223" s="200">
        <v>3</v>
      </c>
      <c r="I223" s="130" t="s">
        <v>258</v>
      </c>
      <c r="J223" s="5"/>
      <c r="K223" s="5" t="s">
        <v>275</v>
      </c>
      <c r="L223" s="5" t="s">
        <v>277</v>
      </c>
      <c r="M223" s="5"/>
      <c r="O223" s="5" t="s">
        <v>312</v>
      </c>
      <c r="P223" s="243">
        <v>0.05</v>
      </c>
      <c r="Q223" s="11"/>
    </row>
    <row r="224" spans="2:17" ht="28.5" hidden="1">
      <c r="B224" s="153" t="s">
        <v>121</v>
      </c>
      <c r="C224" s="5"/>
      <c r="D224" s="5"/>
      <c r="E224" s="72">
        <v>1</v>
      </c>
      <c r="F224" s="5"/>
      <c r="G224" s="191">
        <v>5.96</v>
      </c>
      <c r="H224" s="200">
        <v>6</v>
      </c>
      <c r="I224" s="5"/>
      <c r="J224" s="5"/>
      <c r="K224" s="5"/>
      <c r="L224" s="5"/>
      <c r="M224" s="5"/>
      <c r="O224" s="5"/>
      <c r="P224" s="243">
        <v>0.1</v>
      </c>
      <c r="Q224" s="11"/>
    </row>
    <row r="225" spans="2:17" ht="28.5" hidden="1">
      <c r="B225" s="171" t="s">
        <v>186</v>
      </c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105">
        <v>0.25</v>
      </c>
      <c r="Q225" s="138"/>
    </row>
  </sheetData>
  <sheetProtection password="85AF" sheet="1" objects="1" scenarios="1"/>
  <mergeCells count="43">
    <mergeCell ref="E201:I203"/>
    <mergeCell ref="D83:F83"/>
    <mergeCell ref="D61:E61"/>
    <mergeCell ref="D172:F172"/>
    <mergeCell ref="C154:J154"/>
    <mergeCell ref="D123:G123"/>
    <mergeCell ref="C107:J107"/>
    <mergeCell ref="C48:J48"/>
    <mergeCell ref="C95:J95"/>
    <mergeCell ref="C160:J160"/>
    <mergeCell ref="C141:J141"/>
    <mergeCell ref="C125:J125"/>
    <mergeCell ref="E121:J121"/>
    <mergeCell ref="B4:K4"/>
    <mergeCell ref="B56:K56"/>
    <mergeCell ref="C63:J63"/>
    <mergeCell ref="B109:K109"/>
    <mergeCell ref="E105:I105"/>
    <mergeCell ref="C54:J54"/>
    <mergeCell ref="C17:J17"/>
    <mergeCell ref="C23:J23"/>
    <mergeCell ref="C36:J36"/>
    <mergeCell ref="C42:J42"/>
    <mergeCell ref="B213:K213"/>
    <mergeCell ref="C196:J196"/>
    <mergeCell ref="C205:J205"/>
    <mergeCell ref="B87:K87"/>
    <mergeCell ref="C167:J167"/>
    <mergeCell ref="C147:J147"/>
    <mergeCell ref="C101:J101"/>
    <mergeCell ref="C117:J117"/>
    <mergeCell ref="C132:J132"/>
    <mergeCell ref="B134:K134"/>
    <mergeCell ref="C211:J211"/>
    <mergeCell ref="C174:J174"/>
    <mergeCell ref="C180:J180"/>
    <mergeCell ref="C190:J190"/>
    <mergeCell ref="F15:H15"/>
    <mergeCell ref="E67:I68"/>
    <mergeCell ref="E69:I70"/>
    <mergeCell ref="C79:J79"/>
    <mergeCell ref="C85:J85"/>
    <mergeCell ref="C72:J72"/>
  </mergeCells>
  <conditionalFormatting sqref="D34">
    <cfRule type="cellIs" priority="1" dxfId="0" operator="notEqual" stopIfTrue="1">
      <formula>1</formula>
    </cfRule>
  </conditionalFormatting>
  <dataValidations count="13">
    <dataValidation type="list" allowBlank="1" showInputMessage="1" showErrorMessage="1" sqref="D184 D200">
      <formula1>$K$221:$K$223</formula1>
    </dataValidation>
    <dataValidation type="list" allowBlank="1" showInputMessage="1" showErrorMessage="1" sqref="D208 D138 D144 D177 D170 D183 D199 D193 D120 D104 D91 D60 D45 D26 D14 D75 D20 D39 D51 D66 D98 D113 D128 D157 D150 D163 D82">
      <formula1>$J$221:$J$222</formula1>
    </dataValidation>
    <dataValidation type="list" showInputMessage="1" showErrorMessage="1" sqref="D123:G123">
      <formula1>$F$220:$F$222</formula1>
    </dataValidation>
    <dataValidation type="list" allowBlank="1" showInputMessage="1" showErrorMessage="1" sqref="D152">
      <formula1>$G$221:$G$224</formula1>
    </dataValidation>
    <dataValidation type="list" allowBlank="1" showInputMessage="1" showErrorMessage="1" sqref="D164">
      <formula1>$H$221:$H$224</formula1>
    </dataValidation>
    <dataValidation type="list" allowBlank="1" showInputMessage="1" showErrorMessage="1" sqref="D186">
      <formula1>$L$221:$L$223</formula1>
    </dataValidation>
    <dataValidation type="list" showInputMessage="1" showErrorMessage="1" sqref="F15:H15">
      <formula1>$C$221:$C$222</formula1>
    </dataValidation>
    <dataValidation type="list" allowBlank="1" showInputMessage="1" showErrorMessage="1" sqref="C7">
      <formula1>$B$221:$B$225</formula1>
    </dataValidation>
    <dataValidation type="list" showInputMessage="1" showErrorMessage="1" sqref="D61">
      <formula1>$D$221:$D$222</formula1>
    </dataValidation>
    <dataValidation type="list" allowBlank="1" showInputMessage="1" showErrorMessage="1" sqref="D67 D69">
      <formula1>$E$221:$E$224</formula1>
    </dataValidation>
    <dataValidation type="list" allowBlank="1" showInputMessage="1" showErrorMessage="1" sqref="D83:F83">
      <formula1>$O$221:$O$223</formula1>
    </dataValidation>
    <dataValidation type="list" allowBlank="1" showInputMessage="1" showErrorMessage="1" sqref="D171">
      <formula1>$P$221:$P$225</formula1>
    </dataValidation>
    <dataValidation type="list" allowBlank="1" showInputMessage="1" showErrorMessage="1" sqref="D172:F172">
      <formula1>$I$221:$I$223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L280"/>
  <sheetViews>
    <sheetView zoomScale="70" zoomScaleNormal="70" zoomScalePageLayoutView="0" workbookViewId="0" topLeftCell="A1">
      <selection activeCell="F287" sqref="F287"/>
    </sheetView>
  </sheetViews>
  <sheetFormatPr defaultColWidth="9.140625" defaultRowHeight="15" outlineLevelRow="3"/>
  <cols>
    <col min="1" max="1" width="2.00390625" style="0" customWidth="1"/>
    <col min="4" max="4" width="9.8515625" style="0" bestFit="1" customWidth="1"/>
    <col min="5" max="5" width="10.421875" style="0" customWidth="1"/>
    <col min="6" max="8" width="22.28125" style="0" customWidth="1"/>
    <col min="9" max="9" width="39.8515625" style="0" customWidth="1"/>
    <col min="10" max="10" width="7.57421875" style="0" customWidth="1"/>
  </cols>
  <sheetData>
    <row r="1" spans="2:3" ht="14.25">
      <c r="B1" s="75"/>
      <c r="C1" s="76" t="s">
        <v>117</v>
      </c>
    </row>
    <row r="2" spans="2:3" ht="14.25">
      <c r="B2" s="78"/>
      <c r="C2" s="76" t="s">
        <v>118</v>
      </c>
    </row>
    <row r="3" ht="8.25" customHeight="1" thickBot="1"/>
    <row r="4" spans="2:11" ht="25.5" customHeight="1" thickBot="1">
      <c r="B4" s="379" t="s">
        <v>116</v>
      </c>
      <c r="C4" s="380"/>
      <c r="D4" s="380"/>
      <c r="E4" s="380"/>
      <c r="F4" s="380"/>
      <c r="G4" s="380"/>
      <c r="H4" s="380"/>
      <c r="I4" s="380"/>
      <c r="J4" s="380"/>
      <c r="K4" s="381"/>
    </row>
    <row r="5" ht="15" thickBot="1"/>
    <row r="6" spans="2:11" ht="14.25" hidden="1" outlineLevel="1">
      <c r="B6" s="1"/>
      <c r="C6" s="2"/>
      <c r="D6" s="2"/>
      <c r="E6" s="2"/>
      <c r="F6" s="2"/>
      <c r="G6" s="2"/>
      <c r="H6" s="2"/>
      <c r="I6" s="2"/>
      <c r="J6" s="2"/>
      <c r="K6" s="3"/>
    </row>
    <row r="7" spans="2:11" ht="14.25" hidden="1" outlineLevel="2">
      <c r="B7" s="4"/>
      <c r="C7" s="7"/>
      <c r="D7" s="8"/>
      <c r="E7" s="8"/>
      <c r="F7" s="8"/>
      <c r="G7" s="8"/>
      <c r="H7" s="8"/>
      <c r="I7" s="8"/>
      <c r="J7" s="9"/>
      <c r="K7" s="6"/>
    </row>
    <row r="8" spans="2:11" ht="14.25" hidden="1" outlineLevel="2">
      <c r="B8" s="4"/>
      <c r="C8" s="10"/>
      <c r="D8" s="5"/>
      <c r="E8" s="160" t="s">
        <v>316</v>
      </c>
      <c r="F8" s="207" t="s">
        <v>421</v>
      </c>
      <c r="G8" s="5"/>
      <c r="H8" s="5"/>
      <c r="I8" s="5"/>
      <c r="J8" s="11"/>
      <c r="K8" s="6"/>
    </row>
    <row r="9" spans="2:11" ht="14.25" hidden="1" outlineLevel="2">
      <c r="B9" s="4"/>
      <c r="C9" s="10"/>
      <c r="D9" s="5"/>
      <c r="E9" s="160" t="s">
        <v>314</v>
      </c>
      <c r="F9" s="343">
        <v>0.218</v>
      </c>
      <c r="G9" s="5"/>
      <c r="H9" s="5"/>
      <c r="I9" s="5"/>
      <c r="J9" s="11"/>
      <c r="K9" s="6"/>
    </row>
    <row r="10" spans="2:11" ht="14.25" hidden="1" outlineLevel="2">
      <c r="B10" s="4"/>
      <c r="C10" s="10"/>
      <c r="D10" s="5"/>
      <c r="E10" s="160" t="s">
        <v>424</v>
      </c>
      <c r="F10" s="343">
        <v>0.256</v>
      </c>
      <c r="G10" s="5"/>
      <c r="H10" s="5"/>
      <c r="I10" s="5"/>
      <c r="J10" s="11"/>
      <c r="K10" s="6"/>
    </row>
    <row r="11" spans="2:11" ht="14.25" hidden="1" outlineLevel="2">
      <c r="B11" s="4"/>
      <c r="C11" s="10"/>
      <c r="D11" s="5"/>
      <c r="E11" s="160" t="s">
        <v>422</v>
      </c>
      <c r="F11" s="343">
        <v>0.173</v>
      </c>
      <c r="G11" s="5"/>
      <c r="H11" s="5"/>
      <c r="I11" s="5"/>
      <c r="J11" s="11"/>
      <c r="K11" s="6"/>
    </row>
    <row r="12" spans="2:11" ht="14.25" hidden="1" outlineLevel="2">
      <c r="B12" s="4"/>
      <c r="C12" s="10"/>
      <c r="D12" s="5"/>
      <c r="E12" s="160" t="s">
        <v>315</v>
      </c>
      <c r="F12" s="343">
        <v>0.121</v>
      </c>
      <c r="G12" s="5"/>
      <c r="H12" s="5"/>
      <c r="I12" s="5"/>
      <c r="J12" s="11"/>
      <c r="K12" s="6"/>
    </row>
    <row r="13" spans="2:11" ht="14.25" hidden="1" outlineLevel="2">
      <c r="B13" s="4"/>
      <c r="C13" s="10"/>
      <c r="D13" s="5"/>
      <c r="E13" s="160" t="s">
        <v>423</v>
      </c>
      <c r="F13" s="343">
        <v>0.232</v>
      </c>
      <c r="G13" s="5"/>
      <c r="H13" s="5"/>
      <c r="I13" s="5"/>
      <c r="J13" s="11"/>
      <c r="K13" s="6"/>
    </row>
    <row r="14" spans="2:11" ht="14.25" hidden="1" outlineLevel="2">
      <c r="B14" s="4"/>
      <c r="C14" s="10"/>
      <c r="D14" s="5"/>
      <c r="E14" s="160" t="s">
        <v>135</v>
      </c>
      <c r="F14" s="343">
        <f>SUM(F9:F13)</f>
        <v>1</v>
      </c>
      <c r="G14" s="5"/>
      <c r="H14" s="5"/>
      <c r="I14" s="5"/>
      <c r="J14" s="11"/>
      <c r="K14" s="6"/>
    </row>
    <row r="15" spans="2:11" ht="14.25" hidden="1" outlineLevel="2">
      <c r="B15" s="4"/>
      <c r="C15" s="10"/>
      <c r="D15" s="5"/>
      <c r="E15" s="284" t="s">
        <v>425</v>
      </c>
      <c r="F15" s="5"/>
      <c r="G15" s="5"/>
      <c r="H15" s="5"/>
      <c r="I15" s="5"/>
      <c r="J15" s="11"/>
      <c r="K15" s="6"/>
    </row>
    <row r="16" spans="2:11" ht="14.25" hidden="1" outlineLevel="2">
      <c r="B16" s="4"/>
      <c r="C16" s="10"/>
      <c r="D16" s="5"/>
      <c r="E16" s="342"/>
      <c r="F16" s="5"/>
      <c r="G16" s="5"/>
      <c r="H16" s="5"/>
      <c r="I16" s="5"/>
      <c r="J16" s="11"/>
      <c r="K16" s="6"/>
    </row>
    <row r="17" spans="2:11" ht="15" customHeight="1" hidden="1" outlineLevel="1" collapsed="1">
      <c r="B17" s="4"/>
      <c r="C17" s="486" t="s">
        <v>448</v>
      </c>
      <c r="D17" s="487"/>
      <c r="E17" s="487"/>
      <c r="F17" s="487"/>
      <c r="G17" s="487"/>
      <c r="H17" s="487"/>
      <c r="I17" s="487"/>
      <c r="J17" s="488"/>
      <c r="K17" s="6"/>
    </row>
    <row r="18" spans="2:11" ht="15" hidden="1" outlineLevel="1" thickBot="1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8.75" collapsed="1" thickBot="1">
      <c r="B19" s="489" t="s">
        <v>447</v>
      </c>
      <c r="C19" s="490"/>
      <c r="D19" s="490"/>
      <c r="E19" s="490"/>
      <c r="F19" s="490"/>
      <c r="G19" s="490"/>
      <c r="H19" s="490"/>
      <c r="I19" s="490"/>
      <c r="J19" s="490"/>
      <c r="K19" s="491"/>
    </row>
    <row r="20" ht="15" thickBot="1"/>
    <row r="21" spans="2:11" ht="14.25" hidden="1" outlineLevel="1">
      <c r="B21" s="1"/>
      <c r="C21" s="2"/>
      <c r="D21" s="2"/>
      <c r="E21" s="2"/>
      <c r="F21" s="2"/>
      <c r="G21" s="2"/>
      <c r="H21" s="2"/>
      <c r="I21" s="2"/>
      <c r="J21" s="2"/>
      <c r="K21" s="3"/>
    </row>
    <row r="22" spans="2:11" ht="14.25" hidden="1" outlineLevel="2">
      <c r="B22" s="4"/>
      <c r="C22" s="7"/>
      <c r="D22" s="8"/>
      <c r="E22" s="8"/>
      <c r="F22" s="8"/>
      <c r="G22" s="8"/>
      <c r="H22" s="8"/>
      <c r="I22" s="8"/>
      <c r="J22" s="9"/>
      <c r="K22" s="6"/>
    </row>
    <row r="23" spans="2:11" ht="14.25" hidden="1" outlineLevel="2">
      <c r="B23" s="4"/>
      <c r="C23" s="73" t="s">
        <v>151</v>
      </c>
      <c r="D23" s="124">
        <v>7.6</v>
      </c>
      <c r="E23" s="5" t="s">
        <v>132</v>
      </c>
      <c r="F23" s="5"/>
      <c r="G23" s="5"/>
      <c r="H23" s="5"/>
      <c r="I23" s="5"/>
      <c r="J23" s="11"/>
      <c r="K23" s="6"/>
    </row>
    <row r="24" spans="2:11" ht="14.25" hidden="1" outlineLevel="2">
      <c r="B24" s="4"/>
      <c r="C24" s="73" t="s">
        <v>151</v>
      </c>
      <c r="D24" s="125">
        <v>20</v>
      </c>
      <c r="E24" s="5" t="s">
        <v>133</v>
      </c>
      <c r="F24" s="5"/>
      <c r="G24" s="5"/>
      <c r="H24" s="5"/>
      <c r="I24" s="5"/>
      <c r="J24" s="11"/>
      <c r="K24" s="6"/>
    </row>
    <row r="25" spans="2:11" ht="14.25" hidden="1" outlineLevel="2">
      <c r="B25" s="4"/>
      <c r="C25" s="73"/>
      <c r="D25" s="262" t="s">
        <v>375</v>
      </c>
      <c r="E25" s="5"/>
      <c r="F25" s="5"/>
      <c r="G25" s="5"/>
      <c r="H25" s="5"/>
      <c r="I25" s="5"/>
      <c r="J25" s="11"/>
      <c r="K25" s="6"/>
    </row>
    <row r="26" spans="2:11" ht="14.25" hidden="1" outlineLevel="2">
      <c r="B26" s="4"/>
      <c r="C26" s="10"/>
      <c r="D26" s="68"/>
      <c r="E26" s="5"/>
      <c r="F26" s="5"/>
      <c r="G26" s="5"/>
      <c r="H26" s="5"/>
      <c r="I26" s="5"/>
      <c r="J26" s="11"/>
      <c r="K26" s="6"/>
    </row>
    <row r="27" spans="2:11" ht="14.25" hidden="1" outlineLevel="1" collapsed="1">
      <c r="B27" s="4"/>
      <c r="C27" s="388" t="s">
        <v>2</v>
      </c>
      <c r="D27" s="389"/>
      <c r="E27" s="389"/>
      <c r="F27" s="389"/>
      <c r="G27" s="389"/>
      <c r="H27" s="389"/>
      <c r="I27" s="389"/>
      <c r="J27" s="390"/>
      <c r="K27" s="6"/>
    </row>
    <row r="28" spans="2:11" ht="14.25" hidden="1" outlineLevel="1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14.25" hidden="1" outlineLevel="2">
      <c r="B29" s="4"/>
      <c r="C29" s="7"/>
      <c r="D29" s="8"/>
      <c r="E29" s="8"/>
      <c r="F29" s="8"/>
      <c r="G29" s="8"/>
      <c r="H29" s="8"/>
      <c r="I29" s="8"/>
      <c r="J29" s="9"/>
      <c r="K29" s="6"/>
    </row>
    <row r="30" spans="2:11" ht="14.25" hidden="1" outlineLevel="2">
      <c r="B30" s="4"/>
      <c r="C30" s="73" t="s">
        <v>151</v>
      </c>
      <c r="D30" s="75">
        <v>36</v>
      </c>
      <c r="E30" s="5" t="s">
        <v>178</v>
      </c>
      <c r="F30" s="5"/>
      <c r="G30" s="5"/>
      <c r="H30" s="5"/>
      <c r="I30" s="5"/>
      <c r="J30" s="11"/>
      <c r="K30" s="6"/>
    </row>
    <row r="31" spans="2:11" ht="14.25" hidden="1" outlineLevel="2">
      <c r="B31" s="4"/>
      <c r="C31" s="73"/>
      <c r="D31" s="262" t="s">
        <v>375</v>
      </c>
      <c r="E31" s="5"/>
      <c r="F31" s="5"/>
      <c r="G31" s="5"/>
      <c r="H31" s="5"/>
      <c r="I31" s="5"/>
      <c r="J31" s="11"/>
      <c r="K31" s="6"/>
    </row>
    <row r="32" spans="2:11" ht="14.25" hidden="1" outlineLevel="2">
      <c r="B32" s="4"/>
      <c r="C32" s="10"/>
      <c r="D32" s="5"/>
      <c r="E32" s="5"/>
      <c r="F32" s="5"/>
      <c r="G32" s="5"/>
      <c r="H32" s="5"/>
      <c r="I32" s="5"/>
      <c r="J32" s="11"/>
      <c r="K32" s="6"/>
    </row>
    <row r="33" spans="2:11" ht="14.25" hidden="1" outlineLevel="1" collapsed="1">
      <c r="B33" s="4"/>
      <c r="C33" s="388" t="s">
        <v>3</v>
      </c>
      <c r="D33" s="389"/>
      <c r="E33" s="389"/>
      <c r="F33" s="389"/>
      <c r="G33" s="389"/>
      <c r="H33" s="389"/>
      <c r="I33" s="389"/>
      <c r="J33" s="390"/>
      <c r="K33" s="6"/>
    </row>
    <row r="34" spans="2:11" ht="14.25" hidden="1" outlineLevel="1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4.25" hidden="1" outlineLevel="2">
      <c r="B35" s="4"/>
      <c r="C35" s="7"/>
      <c r="D35" s="8"/>
      <c r="E35" s="8"/>
      <c r="F35" s="8"/>
      <c r="G35" s="8"/>
      <c r="H35" s="8"/>
      <c r="I35" s="8"/>
      <c r="J35" s="9"/>
      <c r="K35" s="6"/>
    </row>
    <row r="36" spans="2:12" ht="14.25" hidden="1" outlineLevel="2">
      <c r="B36" s="4"/>
      <c r="C36" s="73" t="s">
        <v>151</v>
      </c>
      <c r="D36" s="75">
        <v>0.15</v>
      </c>
      <c r="E36" s="128" t="s">
        <v>148</v>
      </c>
      <c r="F36" s="5"/>
      <c r="G36" s="5"/>
      <c r="H36" s="5"/>
      <c r="I36" s="5"/>
      <c r="J36" s="11"/>
      <c r="K36" s="6"/>
      <c r="L36" s="121"/>
    </row>
    <row r="37" spans="2:11" ht="14.25" hidden="1" outlineLevel="2">
      <c r="B37" s="4"/>
      <c r="C37" s="73"/>
      <c r="D37" s="262" t="s">
        <v>375</v>
      </c>
      <c r="E37" s="5"/>
      <c r="F37" s="5"/>
      <c r="G37" s="5"/>
      <c r="H37" s="5"/>
      <c r="I37" s="5"/>
      <c r="J37" s="11"/>
      <c r="K37" s="6"/>
    </row>
    <row r="38" spans="2:11" ht="14.25" hidden="1" outlineLevel="2">
      <c r="B38" s="4"/>
      <c r="C38" s="10"/>
      <c r="D38" s="5"/>
      <c r="E38" s="5"/>
      <c r="F38" s="5"/>
      <c r="G38" s="5"/>
      <c r="H38" s="5"/>
      <c r="I38" s="5"/>
      <c r="J38" s="11"/>
      <c r="K38" s="6"/>
    </row>
    <row r="39" spans="2:11" ht="14.25" hidden="1" outlineLevel="1" collapsed="1">
      <c r="B39" s="4"/>
      <c r="C39" s="388" t="s">
        <v>5</v>
      </c>
      <c r="D39" s="389"/>
      <c r="E39" s="389"/>
      <c r="F39" s="389"/>
      <c r="G39" s="389"/>
      <c r="H39" s="389"/>
      <c r="I39" s="389"/>
      <c r="J39" s="390"/>
      <c r="K39" s="6"/>
    </row>
    <row r="40" spans="2:11" ht="14.25" hidden="1" outlineLevel="1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4.25" hidden="1" outlineLevel="2">
      <c r="B41" s="4"/>
      <c r="C41" s="7"/>
      <c r="D41" s="8"/>
      <c r="E41" s="8"/>
      <c r="F41" s="8"/>
      <c r="G41" s="8"/>
      <c r="H41" s="8"/>
      <c r="I41" s="8"/>
      <c r="J41" s="9"/>
      <c r="K41" s="6"/>
    </row>
    <row r="42" spans="2:11" ht="14.25" hidden="1" outlineLevel="2">
      <c r="B42" s="4"/>
      <c r="C42" s="73" t="s">
        <v>151</v>
      </c>
      <c r="D42" s="75">
        <v>12</v>
      </c>
      <c r="E42" s="128" t="s">
        <v>415</v>
      </c>
      <c r="F42" s="5"/>
      <c r="G42" s="5"/>
      <c r="H42" s="5"/>
      <c r="I42" s="5"/>
      <c r="J42" s="11"/>
      <c r="K42" s="6"/>
    </row>
    <row r="43" spans="2:11" ht="14.25" hidden="1" outlineLevel="2">
      <c r="B43" s="4"/>
      <c r="C43" s="73"/>
      <c r="D43" s="262" t="s">
        <v>375</v>
      </c>
      <c r="E43" s="5"/>
      <c r="F43" s="5"/>
      <c r="G43" s="5"/>
      <c r="H43" s="5"/>
      <c r="I43" s="5"/>
      <c r="J43" s="11"/>
      <c r="K43" s="6"/>
    </row>
    <row r="44" spans="2:11" ht="14.25" hidden="1" outlineLevel="2">
      <c r="B44" s="4"/>
      <c r="C44" s="10"/>
      <c r="D44" s="5"/>
      <c r="E44" s="5"/>
      <c r="F44" s="5"/>
      <c r="G44" s="5"/>
      <c r="H44" s="5"/>
      <c r="I44" s="5"/>
      <c r="J44" s="11"/>
      <c r="K44" s="6"/>
    </row>
    <row r="45" spans="2:11" ht="14.25" hidden="1" outlineLevel="1" collapsed="1">
      <c r="B45" s="4"/>
      <c r="C45" s="388" t="s">
        <v>13</v>
      </c>
      <c r="D45" s="389"/>
      <c r="E45" s="389"/>
      <c r="F45" s="389"/>
      <c r="G45" s="389"/>
      <c r="H45" s="389"/>
      <c r="I45" s="389"/>
      <c r="J45" s="390"/>
      <c r="K45" s="6"/>
    </row>
    <row r="46" spans="2:11" ht="14.25" hidden="1" outlineLevel="1">
      <c r="B46" s="4"/>
      <c r="C46" s="5"/>
      <c r="D46" s="5"/>
      <c r="E46" s="5"/>
      <c r="F46" s="5"/>
      <c r="G46" s="5"/>
      <c r="H46" s="5"/>
      <c r="I46" s="5"/>
      <c r="J46" s="5"/>
      <c r="K46" s="6"/>
    </row>
    <row r="47" spans="2:11" ht="14.25" hidden="1" outlineLevel="2">
      <c r="B47" s="4"/>
      <c r="C47" s="7"/>
      <c r="D47" s="8"/>
      <c r="E47" s="8"/>
      <c r="F47" s="8"/>
      <c r="G47" s="8"/>
      <c r="H47" s="8"/>
      <c r="I47" s="8"/>
      <c r="J47" s="9"/>
      <c r="K47" s="6"/>
    </row>
    <row r="48" spans="2:11" ht="14.25" hidden="1" outlineLevel="2">
      <c r="B48" s="4"/>
      <c r="C48" s="73" t="s">
        <v>151</v>
      </c>
      <c r="D48" s="134">
        <v>0.013</v>
      </c>
      <c r="E48" s="5" t="s">
        <v>416</v>
      </c>
      <c r="F48" s="5"/>
      <c r="G48" s="5"/>
      <c r="H48" s="5"/>
      <c r="I48" s="5"/>
      <c r="J48" s="11"/>
      <c r="K48" s="6"/>
    </row>
    <row r="49" spans="2:11" ht="14.25" hidden="1" outlineLevel="2">
      <c r="B49" s="4"/>
      <c r="C49" s="73" t="s">
        <v>111</v>
      </c>
      <c r="D49" s="108">
        <f>1/E50*E51</f>
        <v>0.6944444444444444</v>
      </c>
      <c r="E49" s="5" t="s">
        <v>170</v>
      </c>
      <c r="F49" s="5"/>
      <c r="G49" s="5"/>
      <c r="H49" s="5"/>
      <c r="I49" s="5"/>
      <c r="J49" s="11"/>
      <c r="K49" s="6"/>
    </row>
    <row r="50" spans="2:12" ht="16.5" hidden="1" outlineLevel="2">
      <c r="B50" s="4"/>
      <c r="C50" s="73"/>
      <c r="E50" s="75">
        <v>1.44</v>
      </c>
      <c r="F50" s="5" t="s">
        <v>419</v>
      </c>
      <c r="G50" s="5"/>
      <c r="H50" s="5"/>
      <c r="I50" s="5"/>
      <c r="J50" s="11"/>
      <c r="K50" s="6"/>
      <c r="L50" s="172"/>
    </row>
    <row r="51" spans="2:11" ht="14.25" hidden="1" outlineLevel="2">
      <c r="B51" s="4"/>
      <c r="C51" s="73"/>
      <c r="E51" s="75">
        <v>1</v>
      </c>
      <c r="F51" s="5" t="s">
        <v>171</v>
      </c>
      <c r="G51" s="5"/>
      <c r="H51" s="5"/>
      <c r="I51" s="5"/>
      <c r="J51" s="11"/>
      <c r="K51" s="6"/>
    </row>
    <row r="52" spans="2:11" ht="14.25" hidden="1" outlineLevel="2">
      <c r="B52" s="4"/>
      <c r="C52" s="73"/>
      <c r="E52" s="13"/>
      <c r="F52" s="285" t="s">
        <v>429</v>
      </c>
      <c r="G52" s="5"/>
      <c r="H52" s="5"/>
      <c r="I52" s="5"/>
      <c r="J52" s="11"/>
      <c r="K52" s="6"/>
    </row>
    <row r="53" spans="2:11" ht="14.25" hidden="1" outlineLevel="2">
      <c r="B53" s="4"/>
      <c r="C53" s="73"/>
      <c r="D53" s="262" t="s">
        <v>375</v>
      </c>
      <c r="E53" s="5"/>
      <c r="F53" s="5"/>
      <c r="G53" s="5"/>
      <c r="H53" s="5"/>
      <c r="I53" s="5"/>
      <c r="J53" s="11"/>
      <c r="K53" s="6"/>
    </row>
    <row r="54" spans="2:11" ht="14.25" hidden="1" outlineLevel="2">
      <c r="B54" s="4"/>
      <c r="C54" s="10"/>
      <c r="D54" s="5"/>
      <c r="E54" s="5"/>
      <c r="F54" s="5"/>
      <c r="G54" s="5"/>
      <c r="H54" s="5"/>
      <c r="I54" s="5"/>
      <c r="J54" s="11"/>
      <c r="K54" s="6"/>
    </row>
    <row r="55" spans="2:11" ht="14.25" hidden="1" outlineLevel="1" collapsed="1">
      <c r="B55" s="4"/>
      <c r="C55" s="388" t="s">
        <v>15</v>
      </c>
      <c r="D55" s="389"/>
      <c r="E55" s="389"/>
      <c r="F55" s="389"/>
      <c r="G55" s="389"/>
      <c r="H55" s="389"/>
      <c r="I55" s="389"/>
      <c r="J55" s="390"/>
      <c r="K55" s="6"/>
    </row>
    <row r="56" spans="2:11" ht="14.25" hidden="1" outlineLevel="1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4.25" hidden="1" outlineLevel="2">
      <c r="B57" s="4"/>
      <c r="C57" s="7"/>
      <c r="D57" s="8"/>
      <c r="E57" s="8"/>
      <c r="F57" s="8"/>
      <c r="G57" s="8"/>
      <c r="H57" s="8"/>
      <c r="I57" s="8"/>
      <c r="J57" s="9"/>
      <c r="K57" s="6"/>
    </row>
    <row r="58" spans="2:11" ht="14.25" hidden="1" outlineLevel="2">
      <c r="B58" s="4"/>
      <c r="C58" s="10"/>
      <c r="D58" s="5" t="s">
        <v>417</v>
      </c>
      <c r="E58" s="5"/>
      <c r="F58" s="5"/>
      <c r="G58" s="5"/>
      <c r="H58" s="5"/>
      <c r="I58" s="5"/>
      <c r="J58" s="11"/>
      <c r="K58" s="6"/>
    </row>
    <row r="59" spans="2:11" ht="14.25" hidden="1" outlineLevel="2">
      <c r="B59" s="4"/>
      <c r="C59" s="10"/>
      <c r="D59" s="5"/>
      <c r="E59" s="5"/>
      <c r="F59" s="5"/>
      <c r="G59" s="5"/>
      <c r="H59" s="5"/>
      <c r="I59" s="5"/>
      <c r="J59" s="11"/>
      <c r="K59" s="6"/>
    </row>
    <row r="60" spans="2:11" ht="14.25" hidden="1" outlineLevel="1" collapsed="1">
      <c r="B60" s="4"/>
      <c r="C60" s="388" t="s">
        <v>16</v>
      </c>
      <c r="D60" s="389"/>
      <c r="E60" s="389"/>
      <c r="F60" s="389"/>
      <c r="G60" s="389"/>
      <c r="H60" s="389"/>
      <c r="I60" s="389"/>
      <c r="J60" s="390"/>
      <c r="K60" s="6"/>
    </row>
    <row r="61" spans="2:11" ht="15" hidden="1" outlineLevel="1" thickBot="1">
      <c r="B61" s="4"/>
      <c r="C61" s="5"/>
      <c r="D61" s="5"/>
      <c r="E61" s="5"/>
      <c r="F61" s="5"/>
      <c r="G61" s="5"/>
      <c r="H61" s="5"/>
      <c r="I61" s="5"/>
      <c r="J61" s="5"/>
      <c r="K61" s="6"/>
    </row>
    <row r="62" spans="2:11" ht="18.75" collapsed="1" thickBot="1">
      <c r="B62" s="382" t="s">
        <v>18</v>
      </c>
      <c r="C62" s="383"/>
      <c r="D62" s="383"/>
      <c r="E62" s="383"/>
      <c r="F62" s="383"/>
      <c r="G62" s="383"/>
      <c r="H62" s="383"/>
      <c r="I62" s="383"/>
      <c r="J62" s="383"/>
      <c r="K62" s="384"/>
    </row>
    <row r="63" ht="15" thickBot="1"/>
    <row r="64" spans="2:11" ht="14.25" hidden="1" outlineLevel="1">
      <c r="B64" s="1"/>
      <c r="C64" s="2"/>
      <c r="D64" s="2"/>
      <c r="E64" s="2"/>
      <c r="F64" s="2"/>
      <c r="G64" s="2"/>
      <c r="H64" s="2"/>
      <c r="I64" s="2"/>
      <c r="J64" s="2"/>
      <c r="K64" s="3"/>
    </row>
    <row r="65" spans="2:11" ht="14.25" hidden="1" outlineLevel="2">
      <c r="B65" s="4"/>
      <c r="C65" s="7"/>
      <c r="D65" s="8"/>
      <c r="E65" s="8"/>
      <c r="F65" s="8"/>
      <c r="G65" s="8"/>
      <c r="H65" s="8"/>
      <c r="I65" s="8"/>
      <c r="J65" s="9"/>
      <c r="K65" s="6"/>
    </row>
    <row r="66" spans="2:11" ht="14.25" hidden="1" outlineLevel="2">
      <c r="B66" s="4"/>
      <c r="C66" s="10"/>
      <c r="D66" s="5" t="s">
        <v>417</v>
      </c>
      <c r="E66" s="5"/>
      <c r="F66" s="5"/>
      <c r="G66" s="5"/>
      <c r="H66" s="5"/>
      <c r="I66" s="5"/>
      <c r="J66" s="11"/>
      <c r="K66" s="6"/>
    </row>
    <row r="67" spans="2:11" ht="14.25" hidden="1" outlineLevel="2">
      <c r="B67" s="4"/>
      <c r="C67" s="10"/>
      <c r="D67" s="5"/>
      <c r="E67" s="5"/>
      <c r="F67" s="5"/>
      <c r="G67" s="5"/>
      <c r="H67" s="5"/>
      <c r="I67" s="5"/>
      <c r="J67" s="11"/>
      <c r="K67" s="6"/>
    </row>
    <row r="68" spans="2:11" ht="15" customHeight="1" hidden="1" outlineLevel="1" collapsed="1">
      <c r="B68" s="4"/>
      <c r="C68" s="363" t="s">
        <v>71</v>
      </c>
      <c r="D68" s="364"/>
      <c r="E68" s="364"/>
      <c r="F68" s="364"/>
      <c r="G68" s="364"/>
      <c r="H68" s="364"/>
      <c r="I68" s="364"/>
      <c r="J68" s="365"/>
      <c r="K68" s="6"/>
    </row>
    <row r="69" spans="2:11" ht="14.25" hidden="1" outlineLevel="1">
      <c r="B69" s="4"/>
      <c r="C69" s="5"/>
      <c r="D69" s="5"/>
      <c r="E69" s="5"/>
      <c r="F69" s="5"/>
      <c r="G69" s="5"/>
      <c r="H69" s="5"/>
      <c r="I69" s="5"/>
      <c r="J69" s="5"/>
      <c r="K69" s="6"/>
    </row>
    <row r="70" spans="2:11" ht="14.25" hidden="1" outlineLevel="2">
      <c r="B70" s="4"/>
      <c r="C70" s="7"/>
      <c r="D70" s="8"/>
      <c r="E70" s="8"/>
      <c r="F70" s="8"/>
      <c r="G70" s="8"/>
      <c r="H70" s="8"/>
      <c r="I70" s="8"/>
      <c r="J70" s="9"/>
      <c r="K70" s="6"/>
    </row>
    <row r="71" spans="2:11" ht="14.25" hidden="1" outlineLevel="2">
      <c r="B71" s="4"/>
      <c r="C71" s="10"/>
      <c r="D71" s="5" t="s">
        <v>417</v>
      </c>
      <c r="E71" s="5"/>
      <c r="F71" s="5"/>
      <c r="G71" s="5"/>
      <c r="H71" s="5"/>
      <c r="I71" s="5"/>
      <c r="J71" s="11"/>
      <c r="K71" s="6"/>
    </row>
    <row r="72" spans="2:11" ht="14.25" hidden="1" outlineLevel="2">
      <c r="B72" s="4"/>
      <c r="C72" s="10"/>
      <c r="D72" s="5"/>
      <c r="E72" s="5"/>
      <c r="F72" s="5"/>
      <c r="G72" s="5"/>
      <c r="H72" s="5"/>
      <c r="I72" s="5"/>
      <c r="J72" s="11"/>
      <c r="K72" s="6"/>
    </row>
    <row r="73" spans="2:11" ht="15" customHeight="1" hidden="1" outlineLevel="1" collapsed="1">
      <c r="B73" s="4"/>
      <c r="C73" s="363" t="s">
        <v>74</v>
      </c>
      <c r="D73" s="364"/>
      <c r="E73" s="364"/>
      <c r="F73" s="364"/>
      <c r="G73" s="364"/>
      <c r="H73" s="364"/>
      <c r="I73" s="364"/>
      <c r="J73" s="365"/>
      <c r="K73" s="6"/>
    </row>
    <row r="74" spans="2:11" ht="14.25" hidden="1" outlineLevel="1">
      <c r="B74" s="4"/>
      <c r="C74" s="5"/>
      <c r="D74" s="5"/>
      <c r="E74" s="5"/>
      <c r="F74" s="5"/>
      <c r="G74" s="5"/>
      <c r="H74" s="5"/>
      <c r="I74" s="5"/>
      <c r="J74" s="5"/>
      <c r="K74" s="6"/>
    </row>
    <row r="75" spans="2:11" ht="14.25" hidden="1" outlineLevel="2">
      <c r="B75" s="4"/>
      <c r="C75" s="7"/>
      <c r="D75" s="8"/>
      <c r="E75" s="8"/>
      <c r="F75" s="8"/>
      <c r="G75" s="8"/>
      <c r="H75" s="8"/>
      <c r="I75" s="8"/>
      <c r="J75" s="9"/>
      <c r="K75" s="6"/>
    </row>
    <row r="76" spans="2:11" ht="14.25" hidden="1" outlineLevel="2">
      <c r="B76" s="4"/>
      <c r="C76" s="10"/>
      <c r="D76" s="5" t="s">
        <v>417</v>
      </c>
      <c r="E76" s="5"/>
      <c r="F76" s="5"/>
      <c r="G76" s="5"/>
      <c r="H76" s="5"/>
      <c r="I76" s="5"/>
      <c r="J76" s="11"/>
      <c r="K76" s="6"/>
    </row>
    <row r="77" spans="2:11" ht="14.25" hidden="1" outlineLevel="2">
      <c r="B77" s="4"/>
      <c r="C77" s="10"/>
      <c r="D77" s="5"/>
      <c r="E77" s="5"/>
      <c r="F77" s="5"/>
      <c r="G77" s="5"/>
      <c r="H77" s="5"/>
      <c r="I77" s="5"/>
      <c r="J77" s="11"/>
      <c r="K77" s="6"/>
    </row>
    <row r="78" spans="2:11" ht="15" customHeight="1" hidden="1" outlineLevel="1" collapsed="1">
      <c r="B78" s="4"/>
      <c r="C78" s="363" t="s">
        <v>78</v>
      </c>
      <c r="D78" s="364"/>
      <c r="E78" s="364"/>
      <c r="F78" s="364"/>
      <c r="G78" s="364"/>
      <c r="H78" s="364"/>
      <c r="I78" s="364"/>
      <c r="J78" s="365"/>
      <c r="K78" s="6"/>
    </row>
    <row r="79" spans="2:11" ht="14.25" hidden="1" outlineLevel="1">
      <c r="B79" s="4"/>
      <c r="C79" s="5"/>
      <c r="D79" s="5"/>
      <c r="E79" s="5"/>
      <c r="F79" s="5"/>
      <c r="G79" s="5"/>
      <c r="H79" s="5"/>
      <c r="I79" s="5"/>
      <c r="J79" s="5"/>
      <c r="K79" s="6"/>
    </row>
    <row r="80" spans="2:11" ht="14.25" hidden="1" outlineLevel="2">
      <c r="B80" s="4"/>
      <c r="C80" s="7"/>
      <c r="D80" s="8"/>
      <c r="E80" s="8"/>
      <c r="F80" s="8"/>
      <c r="G80" s="8"/>
      <c r="H80" s="8"/>
      <c r="I80" s="8"/>
      <c r="J80" s="9"/>
      <c r="K80" s="6"/>
    </row>
    <row r="81" spans="2:11" ht="14.25" hidden="1" outlineLevel="2">
      <c r="B81" s="4"/>
      <c r="C81" s="10"/>
      <c r="D81" s="5" t="s">
        <v>417</v>
      </c>
      <c r="E81" s="5"/>
      <c r="F81" s="5"/>
      <c r="G81" s="5"/>
      <c r="H81" s="5"/>
      <c r="I81" s="5"/>
      <c r="J81" s="11"/>
      <c r="K81" s="6"/>
    </row>
    <row r="82" spans="2:11" ht="14.25" hidden="1" outlineLevel="2">
      <c r="B82" s="4"/>
      <c r="C82" s="10"/>
      <c r="D82" s="5"/>
      <c r="E82" s="5"/>
      <c r="F82" s="5"/>
      <c r="G82" s="5"/>
      <c r="H82" s="5"/>
      <c r="I82" s="5"/>
      <c r="J82" s="11"/>
      <c r="K82" s="6"/>
    </row>
    <row r="83" spans="2:11" ht="15" customHeight="1" hidden="1" outlineLevel="1" collapsed="1">
      <c r="B83" s="4"/>
      <c r="C83" s="363" t="s">
        <v>119</v>
      </c>
      <c r="D83" s="364"/>
      <c r="E83" s="364"/>
      <c r="F83" s="364"/>
      <c r="G83" s="364"/>
      <c r="H83" s="364"/>
      <c r="I83" s="364"/>
      <c r="J83" s="365"/>
      <c r="K83" s="6"/>
    </row>
    <row r="84" spans="2:11" ht="15" hidden="1" outlineLevel="1" thickBot="1">
      <c r="B84" s="4"/>
      <c r="C84" s="5"/>
      <c r="D84" s="5"/>
      <c r="E84" s="5"/>
      <c r="F84" s="5"/>
      <c r="G84" s="5"/>
      <c r="H84" s="5"/>
      <c r="I84" s="5"/>
      <c r="J84" s="5"/>
      <c r="K84" s="6"/>
    </row>
    <row r="85" spans="2:11" ht="18.75" collapsed="1" thickBot="1">
      <c r="B85" s="369" t="s">
        <v>19</v>
      </c>
      <c r="C85" s="370"/>
      <c r="D85" s="370"/>
      <c r="E85" s="370"/>
      <c r="F85" s="370"/>
      <c r="G85" s="370"/>
      <c r="H85" s="370"/>
      <c r="I85" s="370"/>
      <c r="J85" s="370"/>
      <c r="K85" s="371"/>
    </row>
    <row r="86" ht="15" thickBot="1"/>
    <row r="87" spans="2:11" ht="14.25" hidden="1" outlineLevel="1">
      <c r="B87" s="1"/>
      <c r="C87" s="2"/>
      <c r="D87" s="2"/>
      <c r="E87" s="2"/>
      <c r="F87" s="2"/>
      <c r="G87" s="2"/>
      <c r="H87" s="2"/>
      <c r="I87" s="2"/>
      <c r="J87" s="2"/>
      <c r="K87" s="3"/>
    </row>
    <row r="88" spans="2:11" ht="14.25" hidden="1" outlineLevel="2">
      <c r="B88" s="4"/>
      <c r="C88" s="7"/>
      <c r="D88" s="8"/>
      <c r="E88" s="8"/>
      <c r="F88" s="8"/>
      <c r="G88" s="8"/>
      <c r="H88" s="8"/>
      <c r="I88" s="8"/>
      <c r="J88" s="9"/>
      <c r="K88" s="6"/>
    </row>
    <row r="89" spans="2:11" ht="14.25" hidden="1" outlineLevel="2">
      <c r="B89" s="4"/>
      <c r="C89" s="10"/>
      <c r="D89" s="5" t="s">
        <v>417</v>
      </c>
      <c r="E89" s="5"/>
      <c r="F89" s="5"/>
      <c r="G89" s="5"/>
      <c r="H89" s="5"/>
      <c r="I89" s="5"/>
      <c r="J89" s="11"/>
      <c r="K89" s="6"/>
    </row>
    <row r="90" spans="2:11" ht="14.25" hidden="1" outlineLevel="2">
      <c r="B90" s="4"/>
      <c r="C90" s="10"/>
      <c r="D90" s="5"/>
      <c r="E90" s="5"/>
      <c r="F90" s="5"/>
      <c r="G90" s="5"/>
      <c r="H90" s="5"/>
      <c r="I90" s="5"/>
      <c r="J90" s="11"/>
      <c r="K90" s="6"/>
    </row>
    <row r="91" spans="2:11" ht="14.25" hidden="1" outlineLevel="1" collapsed="1">
      <c r="B91" s="4"/>
      <c r="C91" s="372" t="s">
        <v>72</v>
      </c>
      <c r="D91" s="373"/>
      <c r="E91" s="373"/>
      <c r="F91" s="373"/>
      <c r="G91" s="373"/>
      <c r="H91" s="373"/>
      <c r="I91" s="373"/>
      <c r="J91" s="374"/>
      <c r="K91" s="6"/>
    </row>
    <row r="92" spans="2:11" ht="14.25" hidden="1" outlineLevel="1">
      <c r="B92" s="4"/>
      <c r="C92" s="5"/>
      <c r="D92" s="5"/>
      <c r="E92" s="5"/>
      <c r="F92" s="5"/>
      <c r="G92" s="5"/>
      <c r="H92" s="5"/>
      <c r="I92" s="5"/>
      <c r="J92" s="5"/>
      <c r="K92" s="6"/>
    </row>
    <row r="93" spans="2:11" ht="14.25" hidden="1" outlineLevel="2">
      <c r="B93" s="4"/>
      <c r="C93" s="7"/>
      <c r="D93" s="8"/>
      <c r="E93" s="8"/>
      <c r="F93" s="8"/>
      <c r="G93" s="8"/>
      <c r="H93" s="8"/>
      <c r="I93" s="8"/>
      <c r="J93" s="9"/>
      <c r="K93" s="6"/>
    </row>
    <row r="94" spans="2:12" ht="14.25" hidden="1" outlineLevel="2">
      <c r="B94" s="4"/>
      <c r="C94" s="73" t="s">
        <v>112</v>
      </c>
      <c r="D94" s="110">
        <f>MIN(1,(E95/2)*(1/E96))</f>
        <v>1</v>
      </c>
      <c r="E94" s="5" t="s">
        <v>418</v>
      </c>
      <c r="F94" s="5"/>
      <c r="G94" s="5"/>
      <c r="H94" s="5"/>
      <c r="I94" s="5"/>
      <c r="J94" s="11"/>
      <c r="K94" s="6"/>
      <c r="L94" s="172"/>
    </row>
    <row r="95" spans="2:11" ht="16.5" hidden="1" outlineLevel="2">
      <c r="B95" s="4"/>
      <c r="C95" s="73"/>
      <c r="E95" s="75">
        <v>10.9</v>
      </c>
      <c r="F95" s="5" t="s">
        <v>433</v>
      </c>
      <c r="G95" s="5"/>
      <c r="H95" s="5"/>
      <c r="I95" s="5"/>
      <c r="J95" s="11"/>
      <c r="K95" s="6"/>
    </row>
    <row r="96" spans="2:11" ht="16.5" hidden="1" outlineLevel="2">
      <c r="B96" s="4"/>
      <c r="C96" s="73"/>
      <c r="E96" s="75">
        <v>5.3</v>
      </c>
      <c r="F96" s="5" t="s">
        <v>434</v>
      </c>
      <c r="G96" s="5"/>
      <c r="H96" s="5"/>
      <c r="I96" s="5"/>
      <c r="J96" s="11"/>
      <c r="K96" s="6"/>
    </row>
    <row r="97" spans="2:11" ht="14.25" hidden="1" outlineLevel="2">
      <c r="B97" s="4"/>
      <c r="C97" s="73"/>
      <c r="E97" s="13"/>
      <c r="F97" s="285" t="s">
        <v>435</v>
      </c>
      <c r="G97" s="5"/>
      <c r="H97" s="5"/>
      <c r="I97" s="5"/>
      <c r="J97" s="11"/>
      <c r="K97" s="6"/>
    </row>
    <row r="98" spans="2:11" ht="14.25" hidden="1" outlineLevel="2">
      <c r="B98" s="4"/>
      <c r="C98" s="73"/>
      <c r="D98" s="262" t="s">
        <v>375</v>
      </c>
      <c r="E98" s="5"/>
      <c r="F98" s="5"/>
      <c r="G98" s="5"/>
      <c r="H98" s="5"/>
      <c r="I98" s="5"/>
      <c r="J98" s="11"/>
      <c r="K98" s="6"/>
    </row>
    <row r="99" spans="2:11" ht="14.25" hidden="1" outlineLevel="2">
      <c r="B99" s="4"/>
      <c r="C99" s="10"/>
      <c r="D99" s="5"/>
      <c r="E99" s="5"/>
      <c r="F99" s="5"/>
      <c r="G99" s="5"/>
      <c r="H99" s="5"/>
      <c r="I99" s="5"/>
      <c r="J99" s="11"/>
      <c r="K99" s="6"/>
    </row>
    <row r="100" spans="2:11" ht="14.25" hidden="1" outlineLevel="1" collapsed="1">
      <c r="B100" s="4"/>
      <c r="C100" s="372" t="s">
        <v>104</v>
      </c>
      <c r="D100" s="373"/>
      <c r="E100" s="373"/>
      <c r="F100" s="373"/>
      <c r="G100" s="373"/>
      <c r="H100" s="373"/>
      <c r="I100" s="373"/>
      <c r="J100" s="374"/>
      <c r="K100" s="6"/>
    </row>
    <row r="101" spans="2:11" ht="14.25" hidden="1" outlineLevel="1">
      <c r="B101" s="4"/>
      <c r="C101" s="5"/>
      <c r="D101" s="5"/>
      <c r="E101" s="5"/>
      <c r="F101" s="5"/>
      <c r="G101" s="5"/>
      <c r="H101" s="5"/>
      <c r="I101" s="5"/>
      <c r="J101" s="5"/>
      <c r="K101" s="6"/>
    </row>
    <row r="102" spans="2:11" ht="14.25" hidden="1" outlineLevel="2">
      <c r="B102" s="4"/>
      <c r="C102" s="7"/>
      <c r="D102" s="8"/>
      <c r="E102" s="8"/>
      <c r="F102" s="8"/>
      <c r="G102" s="8"/>
      <c r="H102" s="8"/>
      <c r="I102" s="8"/>
      <c r="J102" s="9"/>
      <c r="K102" s="6"/>
    </row>
    <row r="103" spans="2:11" ht="14.25" hidden="1" outlineLevel="2">
      <c r="B103" s="4"/>
      <c r="C103" s="10"/>
      <c r="D103" s="5" t="s">
        <v>417</v>
      </c>
      <c r="E103" s="5"/>
      <c r="F103" s="5"/>
      <c r="G103" s="5"/>
      <c r="H103" s="5"/>
      <c r="I103" s="5"/>
      <c r="J103" s="11"/>
      <c r="K103" s="6"/>
    </row>
    <row r="104" spans="2:11" ht="14.25" hidden="1" outlineLevel="2">
      <c r="B104" s="4"/>
      <c r="C104" s="10"/>
      <c r="D104" s="5"/>
      <c r="E104" s="5"/>
      <c r="F104" s="5"/>
      <c r="G104" s="5"/>
      <c r="H104" s="5"/>
      <c r="I104" s="5"/>
      <c r="J104" s="11"/>
      <c r="K104" s="6"/>
    </row>
    <row r="105" spans="2:11" ht="14.25" hidden="1" outlineLevel="1" collapsed="1">
      <c r="B105" s="4"/>
      <c r="C105" s="372" t="s">
        <v>79</v>
      </c>
      <c r="D105" s="373"/>
      <c r="E105" s="373"/>
      <c r="F105" s="373"/>
      <c r="G105" s="373"/>
      <c r="H105" s="373"/>
      <c r="I105" s="373"/>
      <c r="J105" s="374"/>
      <c r="K105" s="6"/>
    </row>
    <row r="106" spans="2:11" ht="15" hidden="1" outlineLevel="1" thickBot="1">
      <c r="B106" s="4"/>
      <c r="C106" s="5"/>
      <c r="D106" s="5"/>
      <c r="E106" s="5"/>
      <c r="F106" s="5"/>
      <c r="G106" s="5"/>
      <c r="H106" s="5"/>
      <c r="I106" s="5"/>
      <c r="J106" s="5"/>
      <c r="K106" s="6"/>
    </row>
    <row r="107" spans="2:11" ht="18.75" collapsed="1" thickBot="1">
      <c r="B107" s="385" t="s">
        <v>20</v>
      </c>
      <c r="C107" s="386"/>
      <c r="D107" s="386"/>
      <c r="E107" s="386"/>
      <c r="F107" s="386"/>
      <c r="G107" s="386"/>
      <c r="H107" s="386"/>
      <c r="I107" s="386"/>
      <c r="J107" s="386"/>
      <c r="K107" s="387"/>
    </row>
    <row r="108" ht="15" thickBot="1"/>
    <row r="109" spans="2:11" ht="14.25" hidden="1" outlineLevel="1">
      <c r="B109" s="1"/>
      <c r="C109" s="2"/>
      <c r="D109" s="2"/>
      <c r="E109" s="2"/>
      <c r="F109" s="2"/>
      <c r="G109" s="2"/>
      <c r="H109" s="2"/>
      <c r="I109" s="2"/>
      <c r="J109" s="2"/>
      <c r="K109" s="3"/>
    </row>
    <row r="110" spans="2:11" ht="14.25" hidden="1" outlineLevel="2">
      <c r="B110" s="4"/>
      <c r="C110" s="7"/>
      <c r="D110" s="8"/>
      <c r="E110" s="8"/>
      <c r="F110" s="8"/>
      <c r="G110" s="8"/>
      <c r="H110" s="8"/>
      <c r="I110" s="8"/>
      <c r="J110" s="9"/>
      <c r="K110" s="6"/>
    </row>
    <row r="111" spans="2:12" ht="14.25" hidden="1" outlineLevel="2">
      <c r="B111" s="4"/>
      <c r="C111" s="73" t="s">
        <v>217</v>
      </c>
      <c r="D111" s="108">
        <f>D49</f>
        <v>0.6944444444444444</v>
      </c>
      <c r="E111" s="13" t="s">
        <v>222</v>
      </c>
      <c r="F111" s="5"/>
      <c r="G111" s="5"/>
      <c r="H111" s="5"/>
      <c r="I111" s="5"/>
      <c r="J111" s="11"/>
      <c r="K111" s="6"/>
      <c r="L111" s="121"/>
    </row>
    <row r="112" spans="2:11" ht="14.25" hidden="1" outlineLevel="2">
      <c r="B112" s="4"/>
      <c r="C112" s="10"/>
      <c r="D112" s="262" t="s">
        <v>375</v>
      </c>
      <c r="E112" s="5"/>
      <c r="F112" s="5"/>
      <c r="G112" s="5"/>
      <c r="H112" s="5"/>
      <c r="I112" s="5"/>
      <c r="J112" s="11"/>
      <c r="K112" s="6"/>
    </row>
    <row r="113" spans="2:11" ht="14.25" hidden="1" outlineLevel="2">
      <c r="B113" s="4"/>
      <c r="C113" s="10"/>
      <c r="D113" s="5"/>
      <c r="E113" s="5"/>
      <c r="F113" s="5"/>
      <c r="G113" s="5"/>
      <c r="H113" s="5"/>
      <c r="I113" s="5"/>
      <c r="J113" s="11"/>
      <c r="K113" s="6"/>
    </row>
    <row r="114" spans="2:11" ht="15" customHeight="1" hidden="1" outlineLevel="1" collapsed="1">
      <c r="B114" s="4"/>
      <c r="C114" s="375" t="s">
        <v>73</v>
      </c>
      <c r="D114" s="375"/>
      <c r="E114" s="375"/>
      <c r="F114" s="375"/>
      <c r="G114" s="375"/>
      <c r="H114" s="375"/>
      <c r="I114" s="375"/>
      <c r="J114" s="375"/>
      <c r="K114" s="6"/>
    </row>
    <row r="115" spans="2:11" ht="14.25" hidden="1" outlineLevel="1">
      <c r="B115" s="4"/>
      <c r="C115" s="5"/>
      <c r="D115" s="5"/>
      <c r="E115" s="5"/>
      <c r="F115" s="5"/>
      <c r="G115" s="5"/>
      <c r="H115" s="5"/>
      <c r="I115" s="5"/>
      <c r="J115" s="5"/>
      <c r="K115" s="6"/>
    </row>
    <row r="116" spans="2:11" ht="14.25" hidden="1" outlineLevel="2">
      <c r="B116" s="4"/>
      <c r="C116" s="7"/>
      <c r="D116" s="8"/>
      <c r="E116" s="8"/>
      <c r="F116" s="8"/>
      <c r="G116" s="8"/>
      <c r="H116" s="8"/>
      <c r="I116" s="8"/>
      <c r="J116" s="9"/>
      <c r="K116" s="6"/>
    </row>
    <row r="117" spans="2:12" ht="14.25" hidden="1" outlineLevel="2">
      <c r="B117" s="4"/>
      <c r="C117" s="73" t="s">
        <v>231</v>
      </c>
      <c r="D117" s="108">
        <f>D49</f>
        <v>0.6944444444444444</v>
      </c>
      <c r="E117" s="13" t="s">
        <v>222</v>
      </c>
      <c r="F117" s="5"/>
      <c r="G117" s="5"/>
      <c r="H117" s="5"/>
      <c r="I117" s="5"/>
      <c r="J117" s="11"/>
      <c r="K117" s="6"/>
      <c r="L117" s="121"/>
    </row>
    <row r="118" spans="2:11" ht="14.25" hidden="1" outlineLevel="2">
      <c r="B118" s="4"/>
      <c r="C118" s="10"/>
      <c r="D118" s="262" t="s">
        <v>375</v>
      </c>
      <c r="E118" s="5"/>
      <c r="F118" s="5"/>
      <c r="G118" s="5"/>
      <c r="H118" s="5"/>
      <c r="I118" s="5"/>
      <c r="J118" s="11"/>
      <c r="K118" s="6"/>
    </row>
    <row r="119" spans="2:11" ht="14.25" hidden="1" outlineLevel="2">
      <c r="B119" s="4"/>
      <c r="C119" s="10"/>
      <c r="D119" s="5"/>
      <c r="E119" s="5"/>
      <c r="F119" s="5"/>
      <c r="G119" s="5"/>
      <c r="H119" s="5"/>
      <c r="I119" s="5"/>
      <c r="J119" s="11"/>
      <c r="K119" s="6"/>
    </row>
    <row r="120" spans="2:11" ht="15" customHeight="1" hidden="1" outlineLevel="1" collapsed="1">
      <c r="B120" s="4"/>
      <c r="C120" s="375" t="s">
        <v>76</v>
      </c>
      <c r="D120" s="375"/>
      <c r="E120" s="375"/>
      <c r="F120" s="375"/>
      <c r="G120" s="375"/>
      <c r="H120" s="375"/>
      <c r="I120" s="375"/>
      <c r="J120" s="375"/>
      <c r="K120" s="6"/>
    </row>
    <row r="121" spans="2:11" ht="14.25" hidden="1" outlineLevel="1">
      <c r="B121" s="4"/>
      <c r="C121" s="5"/>
      <c r="D121" s="5"/>
      <c r="E121" s="5"/>
      <c r="F121" s="5"/>
      <c r="G121" s="5"/>
      <c r="H121" s="5"/>
      <c r="I121" s="5"/>
      <c r="J121" s="5"/>
      <c r="K121" s="6"/>
    </row>
    <row r="122" spans="2:11" ht="14.25" hidden="1" outlineLevel="2">
      <c r="B122" s="4"/>
      <c r="C122" s="7"/>
      <c r="D122" s="8"/>
      <c r="E122" s="8"/>
      <c r="F122" s="8"/>
      <c r="G122" s="8"/>
      <c r="H122" s="8"/>
      <c r="I122" s="8"/>
      <c r="J122" s="9"/>
      <c r="K122" s="6"/>
    </row>
    <row r="123" spans="2:12" ht="14.25" hidden="1" outlineLevel="2">
      <c r="B123" s="4"/>
      <c r="C123" s="73" t="s">
        <v>217</v>
      </c>
      <c r="D123" s="235">
        <f>D49</f>
        <v>0.6944444444444444</v>
      </c>
      <c r="E123" s="13" t="s">
        <v>222</v>
      </c>
      <c r="F123" s="5"/>
      <c r="G123" s="5"/>
      <c r="H123" s="5"/>
      <c r="I123" s="5"/>
      <c r="J123" s="11"/>
      <c r="K123" s="6"/>
      <c r="L123" s="121"/>
    </row>
    <row r="124" spans="2:11" ht="14.25" hidden="1" outlineLevel="2">
      <c r="B124" s="4"/>
      <c r="C124" s="10"/>
      <c r="D124" s="262" t="s">
        <v>375</v>
      </c>
      <c r="E124" s="5"/>
      <c r="F124" s="5"/>
      <c r="G124" s="5"/>
      <c r="H124" s="5"/>
      <c r="I124" s="5"/>
      <c r="J124" s="11"/>
      <c r="K124" s="6"/>
    </row>
    <row r="125" spans="2:11" ht="14.25" hidden="1" outlineLevel="2">
      <c r="B125" s="4"/>
      <c r="C125" s="10"/>
      <c r="D125" s="5"/>
      <c r="E125" s="5"/>
      <c r="F125" s="5"/>
      <c r="G125" s="5"/>
      <c r="H125" s="5"/>
      <c r="I125" s="5"/>
      <c r="J125" s="11"/>
      <c r="K125" s="6"/>
    </row>
    <row r="126" spans="2:11" ht="15" customHeight="1" hidden="1" outlineLevel="1" collapsed="1">
      <c r="B126" s="4"/>
      <c r="C126" s="375" t="s">
        <v>80</v>
      </c>
      <c r="D126" s="375"/>
      <c r="E126" s="375"/>
      <c r="F126" s="375"/>
      <c r="G126" s="375"/>
      <c r="H126" s="375"/>
      <c r="I126" s="375"/>
      <c r="J126" s="375"/>
      <c r="K126" s="6"/>
    </row>
    <row r="127" spans="2:11" ht="15" hidden="1" outlineLevel="1" thickBot="1">
      <c r="B127" s="4"/>
      <c r="C127" s="5"/>
      <c r="D127" s="5"/>
      <c r="E127" s="5"/>
      <c r="F127" s="5"/>
      <c r="G127" s="5"/>
      <c r="H127" s="5"/>
      <c r="I127" s="5"/>
      <c r="J127" s="5"/>
      <c r="K127" s="6"/>
    </row>
    <row r="128" spans="2:11" ht="18.75" collapsed="1" thickBot="1">
      <c r="B128" s="376" t="s">
        <v>21</v>
      </c>
      <c r="C128" s="377"/>
      <c r="D128" s="377"/>
      <c r="E128" s="377"/>
      <c r="F128" s="377"/>
      <c r="G128" s="377"/>
      <c r="H128" s="377"/>
      <c r="I128" s="377"/>
      <c r="J128" s="377"/>
      <c r="K128" s="378"/>
    </row>
    <row r="129" ht="15" thickBot="1"/>
    <row r="130" spans="2:11" ht="14.25" hidden="1" outlineLevel="1">
      <c r="B130" s="1"/>
      <c r="C130" s="2"/>
      <c r="D130" s="2"/>
      <c r="E130" s="2"/>
      <c r="F130" s="2"/>
      <c r="G130" s="2"/>
      <c r="H130" s="2"/>
      <c r="I130" s="2"/>
      <c r="J130" s="2"/>
      <c r="K130" s="3"/>
    </row>
    <row r="131" spans="2:11" ht="14.25" hidden="1" outlineLevel="2">
      <c r="B131" s="4"/>
      <c r="C131" s="7"/>
      <c r="D131" s="8"/>
      <c r="E131" s="8"/>
      <c r="F131" s="8"/>
      <c r="G131" s="8"/>
      <c r="H131" s="8"/>
      <c r="I131" s="8"/>
      <c r="J131" s="9"/>
      <c r="K131" s="6"/>
    </row>
    <row r="132" spans="2:12" ht="14.25" hidden="1" outlineLevel="2">
      <c r="B132" s="4"/>
      <c r="C132" s="73" t="s">
        <v>112</v>
      </c>
      <c r="D132" s="236">
        <v>1</v>
      </c>
      <c r="E132" s="5" t="s">
        <v>242</v>
      </c>
      <c r="F132" s="5"/>
      <c r="G132" s="5"/>
      <c r="H132" s="5"/>
      <c r="I132" s="5"/>
      <c r="J132" s="11"/>
      <c r="K132" s="6"/>
      <c r="L132" s="121"/>
    </row>
    <row r="133" spans="2:11" ht="14.25" hidden="1" outlineLevel="2">
      <c r="B133" s="4"/>
      <c r="C133" s="10"/>
      <c r="D133" s="262" t="s">
        <v>375</v>
      </c>
      <c r="E133" s="5"/>
      <c r="F133" s="5"/>
      <c r="G133" s="5"/>
      <c r="H133" s="5"/>
      <c r="I133" s="5"/>
      <c r="J133" s="11"/>
      <c r="K133" s="6"/>
    </row>
    <row r="134" spans="2:11" ht="14.25" hidden="1" outlineLevel="2">
      <c r="B134" s="4"/>
      <c r="C134" s="10"/>
      <c r="D134" s="5"/>
      <c r="E134" s="5"/>
      <c r="F134" s="5"/>
      <c r="G134" s="5"/>
      <c r="H134" s="5"/>
      <c r="I134" s="5"/>
      <c r="J134" s="11"/>
      <c r="K134" s="6"/>
    </row>
    <row r="135" spans="2:11" ht="15" customHeight="1" hidden="1" outlineLevel="1" collapsed="1">
      <c r="B135" s="4"/>
      <c r="C135" s="355" t="s">
        <v>238</v>
      </c>
      <c r="D135" s="356"/>
      <c r="E135" s="356"/>
      <c r="F135" s="356"/>
      <c r="G135" s="356"/>
      <c r="H135" s="356"/>
      <c r="I135" s="356"/>
      <c r="J135" s="357"/>
      <c r="K135" s="6"/>
    </row>
    <row r="136" spans="2:11" ht="14.25" hidden="1" outlineLevel="1">
      <c r="B136" s="4"/>
      <c r="C136" s="5"/>
      <c r="D136" s="5"/>
      <c r="E136" s="5"/>
      <c r="F136" s="5"/>
      <c r="G136" s="5"/>
      <c r="H136" s="5"/>
      <c r="I136" s="5"/>
      <c r="J136" s="5"/>
      <c r="K136" s="6"/>
    </row>
    <row r="137" spans="2:11" ht="14.25" hidden="1" outlineLevel="2">
      <c r="B137" s="4"/>
      <c r="C137" s="7"/>
      <c r="D137" s="8"/>
      <c r="E137" s="8"/>
      <c r="F137" s="8"/>
      <c r="G137" s="8"/>
      <c r="H137" s="8"/>
      <c r="I137" s="8"/>
      <c r="J137" s="9"/>
      <c r="K137" s="6"/>
    </row>
    <row r="138" spans="2:11" ht="14.25" hidden="1" outlineLevel="2">
      <c r="B138" s="4"/>
      <c r="C138" s="10"/>
      <c r="D138" s="5" t="s">
        <v>417</v>
      </c>
      <c r="E138" s="5"/>
      <c r="F138" s="5"/>
      <c r="G138" s="5"/>
      <c r="H138" s="5"/>
      <c r="I138" s="5"/>
      <c r="J138" s="11"/>
      <c r="K138" s="6"/>
    </row>
    <row r="139" spans="2:11" ht="14.25" hidden="1" outlineLevel="2">
      <c r="B139" s="4"/>
      <c r="C139" s="10"/>
      <c r="D139" s="5"/>
      <c r="E139" s="5"/>
      <c r="F139" s="5"/>
      <c r="G139" s="5"/>
      <c r="H139" s="5"/>
      <c r="I139" s="5"/>
      <c r="J139" s="11"/>
      <c r="K139" s="6"/>
    </row>
    <row r="140" spans="2:11" ht="15" customHeight="1" hidden="1" outlineLevel="1" collapsed="1">
      <c r="B140" s="4"/>
      <c r="C140" s="355" t="s">
        <v>239</v>
      </c>
      <c r="D140" s="356"/>
      <c r="E140" s="356"/>
      <c r="F140" s="356"/>
      <c r="G140" s="356"/>
      <c r="H140" s="356"/>
      <c r="I140" s="356"/>
      <c r="J140" s="357"/>
      <c r="K140" s="6"/>
    </row>
    <row r="141" spans="2:11" ht="14.25" hidden="1" outlineLevel="1">
      <c r="B141" s="4"/>
      <c r="C141" s="5"/>
      <c r="D141" s="5"/>
      <c r="E141" s="5"/>
      <c r="F141" s="5"/>
      <c r="G141" s="5"/>
      <c r="H141" s="5"/>
      <c r="I141" s="5"/>
      <c r="J141" s="5"/>
      <c r="K141" s="6"/>
    </row>
    <row r="142" spans="2:11" ht="14.25" hidden="1" outlineLevel="2">
      <c r="B142" s="4"/>
      <c r="C142" s="7"/>
      <c r="D142" s="8"/>
      <c r="E142" s="8"/>
      <c r="F142" s="8"/>
      <c r="G142" s="8"/>
      <c r="H142" s="8"/>
      <c r="I142" s="8"/>
      <c r="J142" s="9"/>
      <c r="K142" s="6"/>
    </row>
    <row r="143" spans="2:12" ht="14.25" hidden="1" outlineLevel="2">
      <c r="B143" s="4"/>
      <c r="C143" s="73" t="s">
        <v>112</v>
      </c>
      <c r="D143" s="236">
        <v>1</v>
      </c>
      <c r="E143" s="5" t="s">
        <v>247</v>
      </c>
      <c r="F143" s="5"/>
      <c r="G143" s="5"/>
      <c r="H143" s="5"/>
      <c r="I143" s="5"/>
      <c r="J143" s="11"/>
      <c r="K143" s="6"/>
      <c r="L143" s="121"/>
    </row>
    <row r="144" spans="2:11" ht="14.25" hidden="1" outlineLevel="2">
      <c r="B144" s="4"/>
      <c r="C144" s="10"/>
      <c r="D144" s="262" t="s">
        <v>375</v>
      </c>
      <c r="E144" s="5"/>
      <c r="F144" s="5"/>
      <c r="G144" s="5"/>
      <c r="H144" s="5"/>
      <c r="I144" s="5"/>
      <c r="J144" s="11"/>
      <c r="K144" s="6"/>
    </row>
    <row r="145" spans="2:11" ht="14.25" hidden="1" outlineLevel="2">
      <c r="B145" s="4"/>
      <c r="C145" s="10"/>
      <c r="D145" s="5"/>
      <c r="E145" s="5"/>
      <c r="F145" s="5"/>
      <c r="G145" s="5"/>
      <c r="H145" s="5"/>
      <c r="I145" s="5"/>
      <c r="J145" s="11"/>
      <c r="K145" s="6"/>
    </row>
    <row r="146" spans="2:11" ht="14.25" hidden="1" outlineLevel="1" collapsed="1">
      <c r="B146" s="4"/>
      <c r="C146" s="355" t="s">
        <v>77</v>
      </c>
      <c r="D146" s="356"/>
      <c r="E146" s="356"/>
      <c r="F146" s="356"/>
      <c r="G146" s="356"/>
      <c r="H146" s="356"/>
      <c r="I146" s="356"/>
      <c r="J146" s="357"/>
      <c r="K146" s="6"/>
    </row>
    <row r="147" spans="2:11" ht="14.25" hidden="1" outlineLevel="1">
      <c r="B147" s="4"/>
      <c r="C147" s="5"/>
      <c r="D147" s="5"/>
      <c r="E147" s="5"/>
      <c r="F147" s="5"/>
      <c r="G147" s="5"/>
      <c r="H147" s="5"/>
      <c r="I147" s="5"/>
      <c r="J147" s="5"/>
      <c r="K147" s="6"/>
    </row>
    <row r="148" spans="2:11" ht="14.25" hidden="1" outlineLevel="2">
      <c r="B148" s="4"/>
      <c r="C148" s="7"/>
      <c r="D148" s="8"/>
      <c r="E148" s="8"/>
      <c r="F148" s="8"/>
      <c r="G148" s="8"/>
      <c r="H148" s="8"/>
      <c r="I148" s="8"/>
      <c r="J148" s="9"/>
      <c r="K148" s="6"/>
    </row>
    <row r="149" spans="2:11" ht="14.25" hidden="1" outlineLevel="2">
      <c r="B149" s="4"/>
      <c r="C149" s="10"/>
      <c r="D149" s="5" t="s">
        <v>417</v>
      </c>
      <c r="E149" s="5"/>
      <c r="F149" s="5"/>
      <c r="G149" s="5"/>
      <c r="H149" s="5"/>
      <c r="I149" s="5"/>
      <c r="J149" s="11"/>
      <c r="K149" s="6"/>
    </row>
    <row r="150" spans="2:11" ht="14.25" hidden="1" outlineLevel="2">
      <c r="B150" s="4"/>
      <c r="C150" s="10"/>
      <c r="D150" s="5"/>
      <c r="E150" s="5"/>
      <c r="F150" s="5"/>
      <c r="G150" s="5"/>
      <c r="H150" s="5"/>
      <c r="I150" s="5"/>
      <c r="J150" s="11"/>
      <c r="K150" s="6"/>
    </row>
    <row r="151" spans="2:11" ht="15" customHeight="1" hidden="1" outlineLevel="1" collapsed="1">
      <c r="B151" s="4"/>
      <c r="C151" s="355" t="s">
        <v>81</v>
      </c>
      <c r="D151" s="356"/>
      <c r="E151" s="356"/>
      <c r="F151" s="356"/>
      <c r="G151" s="356"/>
      <c r="H151" s="356"/>
      <c r="I151" s="356"/>
      <c r="J151" s="357"/>
      <c r="K151" s="6"/>
    </row>
    <row r="152" spans="2:11" ht="14.25" hidden="1" outlineLevel="1">
      <c r="B152" s="4"/>
      <c r="C152" s="5"/>
      <c r="D152" s="5"/>
      <c r="E152" s="5"/>
      <c r="F152" s="5"/>
      <c r="G152" s="5"/>
      <c r="H152" s="5"/>
      <c r="I152" s="5"/>
      <c r="J152" s="5"/>
      <c r="K152" s="6"/>
    </row>
    <row r="153" spans="2:11" ht="14.25" hidden="1" outlineLevel="2">
      <c r="B153" s="4"/>
      <c r="C153" s="7"/>
      <c r="D153" s="8"/>
      <c r="E153" s="8"/>
      <c r="F153" s="8"/>
      <c r="G153" s="8"/>
      <c r="H153" s="8"/>
      <c r="I153" s="8"/>
      <c r="J153" s="9"/>
      <c r="K153" s="6"/>
    </row>
    <row r="154" spans="2:11" ht="14.25" hidden="1" outlineLevel="2">
      <c r="B154" s="4"/>
      <c r="C154" s="10"/>
      <c r="D154" s="5" t="s">
        <v>417</v>
      </c>
      <c r="E154" s="5"/>
      <c r="F154" s="5"/>
      <c r="G154" s="5"/>
      <c r="H154" s="5"/>
      <c r="I154" s="5"/>
      <c r="J154" s="11"/>
      <c r="K154" s="6"/>
    </row>
    <row r="155" spans="2:11" ht="14.25" hidden="1" outlineLevel="2">
      <c r="B155" s="4"/>
      <c r="C155" s="10"/>
      <c r="D155" s="5"/>
      <c r="E155" s="5"/>
      <c r="F155" s="5"/>
      <c r="G155" s="5"/>
      <c r="H155" s="5"/>
      <c r="I155" s="5"/>
      <c r="J155" s="11"/>
      <c r="K155" s="6"/>
    </row>
    <row r="156" spans="2:11" ht="14.25" hidden="1" outlineLevel="1" collapsed="1">
      <c r="B156" s="4"/>
      <c r="C156" s="355" t="s">
        <v>84</v>
      </c>
      <c r="D156" s="356"/>
      <c r="E156" s="356"/>
      <c r="F156" s="356"/>
      <c r="G156" s="356"/>
      <c r="H156" s="356"/>
      <c r="I156" s="356"/>
      <c r="J156" s="357"/>
      <c r="K156" s="6"/>
    </row>
    <row r="157" spans="2:11" ht="14.25" hidden="1" outlineLevel="1">
      <c r="B157" s="4"/>
      <c r="C157" s="5"/>
      <c r="D157" s="5"/>
      <c r="E157" s="5"/>
      <c r="F157" s="5"/>
      <c r="G157" s="5"/>
      <c r="H157" s="5"/>
      <c r="I157" s="5"/>
      <c r="J157" s="5"/>
      <c r="K157" s="6"/>
    </row>
    <row r="158" spans="2:11" ht="14.25" hidden="1" outlineLevel="2">
      <c r="B158" s="4"/>
      <c r="C158" s="7"/>
      <c r="D158" s="8"/>
      <c r="E158" s="8"/>
      <c r="F158" s="8"/>
      <c r="G158" s="8"/>
      <c r="H158" s="8"/>
      <c r="I158" s="8"/>
      <c r="J158" s="9"/>
      <c r="K158" s="6"/>
    </row>
    <row r="159" spans="2:11" ht="14.25" hidden="1" outlineLevel="2">
      <c r="B159" s="4"/>
      <c r="C159" s="10"/>
      <c r="D159" s="5" t="s">
        <v>417</v>
      </c>
      <c r="E159" s="5"/>
      <c r="F159" s="5"/>
      <c r="G159" s="5"/>
      <c r="H159" s="5"/>
      <c r="I159" s="5"/>
      <c r="J159" s="11"/>
      <c r="K159" s="6"/>
    </row>
    <row r="160" spans="2:11" ht="14.25" hidden="1" outlineLevel="2">
      <c r="B160" s="4"/>
      <c r="C160" s="10"/>
      <c r="D160" s="5"/>
      <c r="E160" s="5"/>
      <c r="F160" s="5"/>
      <c r="G160" s="5"/>
      <c r="H160" s="5"/>
      <c r="I160" s="5"/>
      <c r="J160" s="11"/>
      <c r="K160" s="6"/>
    </row>
    <row r="161" spans="2:11" ht="15" customHeight="1" hidden="1" outlineLevel="1" collapsed="1">
      <c r="B161" s="4"/>
      <c r="C161" s="355" t="s">
        <v>85</v>
      </c>
      <c r="D161" s="356"/>
      <c r="E161" s="356"/>
      <c r="F161" s="356"/>
      <c r="G161" s="356"/>
      <c r="H161" s="356"/>
      <c r="I161" s="356"/>
      <c r="J161" s="357"/>
      <c r="K161" s="6"/>
    </row>
    <row r="162" spans="2:11" ht="14.25" hidden="1" outlineLevel="1">
      <c r="B162" s="4"/>
      <c r="C162" s="5"/>
      <c r="D162" s="5"/>
      <c r="E162" s="5"/>
      <c r="F162" s="5"/>
      <c r="G162" s="5"/>
      <c r="H162" s="5"/>
      <c r="I162" s="5"/>
      <c r="J162" s="5"/>
      <c r="K162" s="6"/>
    </row>
    <row r="163" spans="2:11" ht="14.25" hidden="1" outlineLevel="2">
      <c r="B163" s="4"/>
      <c r="C163" s="7"/>
      <c r="D163" s="8"/>
      <c r="E163" s="8"/>
      <c r="F163" s="8"/>
      <c r="G163" s="8"/>
      <c r="H163" s="8"/>
      <c r="I163" s="8"/>
      <c r="J163" s="9"/>
      <c r="K163" s="6"/>
    </row>
    <row r="164" spans="2:12" ht="14.25" hidden="1" outlineLevel="2">
      <c r="B164" s="4"/>
      <c r="C164" s="73" t="s">
        <v>112</v>
      </c>
      <c r="D164" s="236">
        <v>1</v>
      </c>
      <c r="E164" s="5" t="s">
        <v>247</v>
      </c>
      <c r="F164" s="5"/>
      <c r="G164" s="5"/>
      <c r="H164" s="5"/>
      <c r="I164" s="5"/>
      <c r="J164" s="11"/>
      <c r="K164" s="6"/>
      <c r="L164" s="121"/>
    </row>
    <row r="165" spans="2:11" ht="14.25" hidden="1" outlineLevel="2">
      <c r="B165" s="4"/>
      <c r="C165" s="10"/>
      <c r="D165" s="262" t="s">
        <v>375</v>
      </c>
      <c r="E165" s="5"/>
      <c r="F165" s="5"/>
      <c r="G165" s="5"/>
      <c r="H165" s="5"/>
      <c r="I165" s="5"/>
      <c r="J165" s="11"/>
      <c r="K165" s="6"/>
    </row>
    <row r="166" spans="2:11" ht="14.25" hidden="1" outlineLevel="2">
      <c r="B166" s="4"/>
      <c r="C166" s="10"/>
      <c r="D166" s="5"/>
      <c r="E166" s="5"/>
      <c r="F166" s="5"/>
      <c r="G166" s="5"/>
      <c r="H166" s="5"/>
      <c r="I166" s="5"/>
      <c r="J166" s="11"/>
      <c r="K166" s="6"/>
    </row>
    <row r="167" spans="2:11" ht="15" customHeight="1" hidden="1" outlineLevel="1" collapsed="1">
      <c r="B167" s="4"/>
      <c r="C167" s="355" t="s">
        <v>86</v>
      </c>
      <c r="D167" s="356"/>
      <c r="E167" s="356"/>
      <c r="F167" s="356"/>
      <c r="G167" s="356"/>
      <c r="H167" s="356"/>
      <c r="I167" s="356"/>
      <c r="J167" s="357"/>
      <c r="K167" s="6"/>
    </row>
    <row r="168" spans="2:11" ht="14.25" hidden="1" outlineLevel="1">
      <c r="B168" s="4"/>
      <c r="C168" s="5"/>
      <c r="D168" s="5"/>
      <c r="E168" s="5"/>
      <c r="F168" s="5"/>
      <c r="G168" s="5"/>
      <c r="H168" s="5"/>
      <c r="I168" s="5"/>
      <c r="J168" s="5"/>
      <c r="K168" s="6"/>
    </row>
    <row r="169" spans="2:11" ht="14.25" hidden="1" outlineLevel="2">
      <c r="B169" s="4"/>
      <c r="C169" s="7"/>
      <c r="D169" s="8"/>
      <c r="E169" s="8"/>
      <c r="F169" s="8"/>
      <c r="G169" s="8"/>
      <c r="H169" s="8"/>
      <c r="I169" s="8"/>
      <c r="J169" s="9"/>
      <c r="K169" s="6"/>
    </row>
    <row r="170" spans="2:12" ht="14.25" hidden="1" outlineLevel="2">
      <c r="B170" s="4"/>
      <c r="C170" s="73" t="s">
        <v>112</v>
      </c>
      <c r="D170" s="235">
        <f>D49</f>
        <v>0.6944444444444444</v>
      </c>
      <c r="E170" s="5" t="s">
        <v>279</v>
      </c>
      <c r="F170" s="5"/>
      <c r="G170" s="5"/>
      <c r="H170" s="5"/>
      <c r="I170" s="5"/>
      <c r="J170" s="11"/>
      <c r="K170" s="6"/>
      <c r="L170" s="121"/>
    </row>
    <row r="171" spans="2:11" ht="14.25" hidden="1" outlineLevel="2">
      <c r="B171" s="4"/>
      <c r="C171" s="10"/>
      <c r="D171" s="262" t="s">
        <v>375</v>
      </c>
      <c r="E171" s="5"/>
      <c r="F171" s="5"/>
      <c r="G171" s="5"/>
      <c r="H171" s="5"/>
      <c r="I171" s="5"/>
      <c r="J171" s="11"/>
      <c r="K171" s="6"/>
    </row>
    <row r="172" spans="2:11" ht="14.25" hidden="1" outlineLevel="2">
      <c r="B172" s="4"/>
      <c r="C172" s="10"/>
      <c r="D172" s="5"/>
      <c r="E172" s="5"/>
      <c r="F172" s="5"/>
      <c r="G172" s="5"/>
      <c r="H172" s="5"/>
      <c r="I172" s="5"/>
      <c r="J172" s="11"/>
      <c r="K172" s="6"/>
    </row>
    <row r="173" spans="2:11" ht="14.25" hidden="1" outlineLevel="1" collapsed="1">
      <c r="B173" s="4"/>
      <c r="C173" s="355" t="s">
        <v>236</v>
      </c>
      <c r="D173" s="356"/>
      <c r="E173" s="356"/>
      <c r="F173" s="356"/>
      <c r="G173" s="356"/>
      <c r="H173" s="356"/>
      <c r="I173" s="356"/>
      <c r="J173" s="357"/>
      <c r="K173" s="6"/>
    </row>
    <row r="174" spans="2:11" ht="14.25" hidden="1" outlineLevel="1">
      <c r="B174" s="4"/>
      <c r="C174" s="5"/>
      <c r="D174" s="5"/>
      <c r="E174" s="5"/>
      <c r="F174" s="5"/>
      <c r="G174" s="5"/>
      <c r="H174" s="5"/>
      <c r="I174" s="5"/>
      <c r="J174" s="5"/>
      <c r="K174" s="6"/>
    </row>
    <row r="175" spans="2:11" ht="14.25" hidden="1" outlineLevel="2">
      <c r="B175" s="4"/>
      <c r="C175" s="7"/>
      <c r="D175" s="8"/>
      <c r="E175" s="8"/>
      <c r="F175" s="8"/>
      <c r="G175" s="8"/>
      <c r="H175" s="8"/>
      <c r="I175" s="8"/>
      <c r="J175" s="9"/>
      <c r="K175" s="6"/>
    </row>
    <row r="176" spans="2:11" ht="14.25" hidden="1" outlineLevel="2">
      <c r="B176" s="4"/>
      <c r="C176" s="10"/>
      <c r="D176" s="5" t="s">
        <v>417</v>
      </c>
      <c r="E176" s="5"/>
      <c r="F176" s="5"/>
      <c r="G176" s="5"/>
      <c r="H176" s="5"/>
      <c r="I176" s="5"/>
      <c r="J176" s="11"/>
      <c r="K176" s="6"/>
    </row>
    <row r="177" spans="2:11" ht="14.25" hidden="1" outlineLevel="2">
      <c r="B177" s="4"/>
      <c r="C177" s="10"/>
      <c r="D177" s="5"/>
      <c r="E177" s="5"/>
      <c r="F177" s="5"/>
      <c r="G177" s="5"/>
      <c r="H177" s="5"/>
      <c r="I177" s="5"/>
      <c r="J177" s="11"/>
      <c r="K177" s="6"/>
    </row>
    <row r="178" spans="2:11" ht="15" customHeight="1" hidden="1" outlineLevel="1" collapsed="1">
      <c r="B178" s="4"/>
      <c r="C178" s="355" t="s">
        <v>237</v>
      </c>
      <c r="D178" s="356"/>
      <c r="E178" s="356"/>
      <c r="F178" s="356"/>
      <c r="G178" s="356"/>
      <c r="H178" s="356"/>
      <c r="I178" s="356"/>
      <c r="J178" s="357"/>
      <c r="K178" s="6"/>
    </row>
    <row r="179" spans="2:11" ht="14.25" hidden="1" outlineLevel="1">
      <c r="B179" s="4"/>
      <c r="C179" s="5"/>
      <c r="D179" s="5"/>
      <c r="E179" s="5"/>
      <c r="F179" s="5"/>
      <c r="G179" s="5"/>
      <c r="H179" s="5"/>
      <c r="I179" s="5"/>
      <c r="J179" s="5"/>
      <c r="K179" s="6"/>
    </row>
    <row r="180" spans="2:11" ht="14.25" hidden="1" outlineLevel="2">
      <c r="B180" s="4"/>
      <c r="C180" s="7"/>
      <c r="D180" s="8"/>
      <c r="E180" s="8"/>
      <c r="F180" s="8"/>
      <c r="G180" s="8"/>
      <c r="H180" s="8"/>
      <c r="I180" s="8"/>
      <c r="J180" s="9"/>
      <c r="K180" s="6"/>
    </row>
    <row r="181" spans="2:12" ht="14.25" hidden="1" outlineLevel="2">
      <c r="B181" s="4"/>
      <c r="C181" s="73" t="s">
        <v>111</v>
      </c>
      <c r="D181" s="235">
        <f>(E183-1)/E183*E184</f>
        <v>0.44999999999999996</v>
      </c>
      <c r="E181" s="362" t="s">
        <v>291</v>
      </c>
      <c r="F181" s="362"/>
      <c r="G181" s="362"/>
      <c r="H181" s="362"/>
      <c r="I181" s="362"/>
      <c r="J181" s="11"/>
      <c r="K181" s="6"/>
      <c r="L181" s="121"/>
    </row>
    <row r="182" spans="2:12" ht="14.25" hidden="1" outlineLevel="2">
      <c r="B182" s="4"/>
      <c r="C182" s="73"/>
      <c r="D182" s="216"/>
      <c r="E182" s="362"/>
      <c r="F182" s="362"/>
      <c r="G182" s="362"/>
      <c r="H182" s="362"/>
      <c r="I182" s="362"/>
      <c r="J182" s="11"/>
      <c r="K182" s="6"/>
      <c r="L182" s="121"/>
    </row>
    <row r="183" spans="2:11" ht="14.25" hidden="1" outlineLevel="2">
      <c r="B183" s="4"/>
      <c r="C183" s="73"/>
      <c r="E183" s="75">
        <v>2.5</v>
      </c>
      <c r="F183" s="5" t="s">
        <v>285</v>
      </c>
      <c r="G183" s="5"/>
      <c r="H183" s="5"/>
      <c r="I183" s="5"/>
      <c r="J183" s="11"/>
      <c r="K183" s="6"/>
    </row>
    <row r="184" spans="2:11" ht="14.25" hidden="1" outlineLevel="2">
      <c r="B184" s="4"/>
      <c r="C184" s="73"/>
      <c r="E184" s="217">
        <f>39/52</f>
        <v>0.75</v>
      </c>
      <c r="F184" s="5" t="s">
        <v>286</v>
      </c>
      <c r="G184" s="5"/>
      <c r="H184" s="5"/>
      <c r="I184" s="5"/>
      <c r="J184" s="11"/>
      <c r="K184" s="6"/>
    </row>
    <row r="185" spans="2:11" ht="14.25" hidden="1" outlineLevel="2">
      <c r="B185" s="4"/>
      <c r="C185" s="10"/>
      <c r="D185" s="262" t="s">
        <v>375</v>
      </c>
      <c r="E185" s="5"/>
      <c r="F185" s="5"/>
      <c r="G185" s="5"/>
      <c r="H185" s="5"/>
      <c r="I185" s="5"/>
      <c r="J185" s="11"/>
      <c r="K185" s="6"/>
    </row>
    <row r="186" spans="2:11" ht="14.25" hidden="1" outlineLevel="2">
      <c r="B186" s="4"/>
      <c r="C186" s="10"/>
      <c r="D186" s="5"/>
      <c r="E186" s="5"/>
      <c r="F186" s="5"/>
      <c r="G186" s="5"/>
      <c r="H186" s="5"/>
      <c r="I186" s="5"/>
      <c r="J186" s="11"/>
      <c r="K186" s="6"/>
    </row>
    <row r="187" spans="2:11" ht="15" customHeight="1" hidden="1" outlineLevel="1" collapsed="1">
      <c r="B187" s="4"/>
      <c r="C187" s="352" t="s">
        <v>89</v>
      </c>
      <c r="D187" s="353"/>
      <c r="E187" s="353"/>
      <c r="F187" s="353"/>
      <c r="G187" s="353"/>
      <c r="H187" s="353"/>
      <c r="I187" s="353"/>
      <c r="J187" s="354"/>
      <c r="K187" s="6"/>
    </row>
    <row r="188" spans="2:11" ht="14.25" hidden="1" outlineLevel="1">
      <c r="B188" s="4"/>
      <c r="C188" s="5"/>
      <c r="D188" s="5"/>
      <c r="E188" s="5"/>
      <c r="F188" s="5"/>
      <c r="G188" s="5"/>
      <c r="H188" s="5"/>
      <c r="I188" s="5"/>
      <c r="J188" s="5"/>
      <c r="K188" s="6"/>
    </row>
    <row r="189" spans="2:11" ht="14.25" hidden="1" outlineLevel="2">
      <c r="B189" s="4"/>
      <c r="C189" s="7"/>
      <c r="D189" s="8"/>
      <c r="E189" s="8"/>
      <c r="F189" s="8"/>
      <c r="G189" s="8"/>
      <c r="H189" s="8"/>
      <c r="I189" s="8"/>
      <c r="J189" s="9"/>
      <c r="K189" s="6"/>
    </row>
    <row r="190" spans="2:12" ht="14.25" hidden="1" outlineLevel="2">
      <c r="B190" s="4"/>
      <c r="C190" s="73" t="s">
        <v>111</v>
      </c>
      <c r="D190" s="267">
        <f>39/52</f>
        <v>0.75</v>
      </c>
      <c r="E190" s="362" t="s">
        <v>292</v>
      </c>
      <c r="F190" s="362"/>
      <c r="G190" s="362"/>
      <c r="H190" s="362"/>
      <c r="I190" s="362"/>
      <c r="J190" s="11"/>
      <c r="K190" s="6"/>
      <c r="L190" s="121"/>
    </row>
    <row r="191" spans="2:12" ht="14.25" hidden="1" outlineLevel="2">
      <c r="B191" s="4"/>
      <c r="C191" s="73"/>
      <c r="D191" s="216"/>
      <c r="E191" s="362"/>
      <c r="F191" s="362"/>
      <c r="G191" s="362"/>
      <c r="H191" s="362"/>
      <c r="I191" s="362"/>
      <c r="J191" s="11"/>
      <c r="K191" s="6"/>
      <c r="L191" s="121"/>
    </row>
    <row r="192" spans="2:11" ht="14.25" hidden="1" outlineLevel="2">
      <c r="B192" s="4"/>
      <c r="C192" s="10"/>
      <c r="D192" s="262" t="s">
        <v>375</v>
      </c>
      <c r="E192" s="5"/>
      <c r="F192" s="5"/>
      <c r="G192" s="5"/>
      <c r="H192" s="5"/>
      <c r="I192" s="5"/>
      <c r="J192" s="11"/>
      <c r="K192" s="6"/>
    </row>
    <row r="193" spans="2:11" ht="14.25" hidden="1" outlineLevel="2">
      <c r="B193" s="4"/>
      <c r="C193" s="10"/>
      <c r="D193" s="5"/>
      <c r="E193" s="5"/>
      <c r="F193" s="5"/>
      <c r="G193" s="5"/>
      <c r="H193" s="5"/>
      <c r="I193" s="5"/>
      <c r="J193" s="11"/>
      <c r="K193" s="6"/>
    </row>
    <row r="194" spans="2:11" ht="15" customHeight="1" hidden="1" outlineLevel="1" collapsed="1">
      <c r="B194" s="4"/>
      <c r="C194" s="352" t="s">
        <v>90</v>
      </c>
      <c r="D194" s="353"/>
      <c r="E194" s="353"/>
      <c r="F194" s="353"/>
      <c r="G194" s="353"/>
      <c r="H194" s="353"/>
      <c r="I194" s="353"/>
      <c r="J194" s="354"/>
      <c r="K194" s="6"/>
    </row>
    <row r="195" spans="2:11" ht="15" hidden="1" outlineLevel="1" thickBot="1">
      <c r="B195" s="4"/>
      <c r="C195" s="5"/>
      <c r="D195" s="5"/>
      <c r="E195" s="5"/>
      <c r="F195" s="5"/>
      <c r="G195" s="5"/>
      <c r="H195" s="5"/>
      <c r="I195" s="5"/>
      <c r="J195" s="5"/>
      <c r="K195" s="6"/>
    </row>
    <row r="196" spans="2:11" ht="18.75" collapsed="1" thickBot="1">
      <c r="B196" s="366" t="s">
        <v>22</v>
      </c>
      <c r="C196" s="367"/>
      <c r="D196" s="367"/>
      <c r="E196" s="367"/>
      <c r="F196" s="367"/>
      <c r="G196" s="367"/>
      <c r="H196" s="367"/>
      <c r="I196" s="367"/>
      <c r="J196" s="367"/>
      <c r="K196" s="368"/>
    </row>
    <row r="197" ht="15" thickBot="1"/>
    <row r="198" spans="2:11" ht="14.25" hidden="1" outlineLevel="1">
      <c r="B198" s="1"/>
      <c r="C198" s="2"/>
      <c r="D198" s="2"/>
      <c r="E198" s="2"/>
      <c r="F198" s="2"/>
      <c r="G198" s="2"/>
      <c r="H198" s="2"/>
      <c r="I198" s="2"/>
      <c r="J198" s="2"/>
      <c r="K198" s="3"/>
    </row>
    <row r="199" spans="2:11" ht="14.25" hidden="1" outlineLevel="2">
      <c r="B199" s="4"/>
      <c r="C199" s="7"/>
      <c r="D199" s="8"/>
      <c r="E199" s="8"/>
      <c r="F199" s="8"/>
      <c r="G199" s="8"/>
      <c r="H199" s="8"/>
      <c r="I199" s="8"/>
      <c r="J199" s="9"/>
      <c r="K199" s="6"/>
    </row>
    <row r="200" spans="2:12" ht="14.25" hidden="1" outlineLevel="2">
      <c r="B200" s="4"/>
      <c r="C200" s="73"/>
      <c r="D200" s="176" t="s">
        <v>330</v>
      </c>
      <c r="E200" s="229" t="s">
        <v>331</v>
      </c>
      <c r="F200" s="152"/>
      <c r="G200" s="152"/>
      <c r="H200" s="152"/>
      <c r="I200" s="152"/>
      <c r="J200" s="11"/>
      <c r="K200" s="6"/>
      <c r="L200" s="121"/>
    </row>
    <row r="201" spans="2:11" ht="14.25" hidden="1" outlineLevel="2">
      <c r="B201" s="4"/>
      <c r="C201" s="73"/>
      <c r="D201" s="238">
        <v>0.75</v>
      </c>
      <c r="E201" s="252" t="s">
        <v>213</v>
      </c>
      <c r="F201" s="72"/>
      <c r="G201" s="5"/>
      <c r="H201" s="5"/>
      <c r="I201" s="5"/>
      <c r="J201" s="11"/>
      <c r="K201" s="6"/>
    </row>
    <row r="202" spans="2:11" ht="14.25" hidden="1" outlineLevel="2">
      <c r="B202" s="4"/>
      <c r="C202" s="73"/>
      <c r="D202" s="238">
        <v>0.75</v>
      </c>
      <c r="E202" s="114" t="s">
        <v>122</v>
      </c>
      <c r="F202" s="72"/>
      <c r="G202" s="5"/>
      <c r="H202" s="5"/>
      <c r="I202" s="5"/>
      <c r="J202" s="11"/>
      <c r="K202" s="6"/>
    </row>
    <row r="203" spans="2:12" ht="14.25" hidden="1" outlineLevel="2">
      <c r="B203" s="4"/>
      <c r="C203" s="73"/>
      <c r="D203" s="238">
        <v>0.4</v>
      </c>
      <c r="E203" s="114" t="s">
        <v>185</v>
      </c>
      <c r="F203" s="152"/>
      <c r="G203" s="152"/>
      <c r="H203" s="152"/>
      <c r="I203" s="152"/>
      <c r="J203" s="11"/>
      <c r="K203" s="6"/>
      <c r="L203" s="121"/>
    </row>
    <row r="204" spans="2:11" ht="14.25" hidden="1" outlineLevel="2">
      <c r="B204" s="4"/>
      <c r="C204" s="73"/>
      <c r="D204" s="238">
        <v>0.2</v>
      </c>
      <c r="E204" s="114" t="s">
        <v>121</v>
      </c>
      <c r="F204" s="72"/>
      <c r="G204" s="5"/>
      <c r="H204" s="5"/>
      <c r="I204" s="5"/>
      <c r="J204" s="11"/>
      <c r="K204" s="6"/>
    </row>
    <row r="205" spans="2:11" ht="14.25" hidden="1" outlineLevel="2">
      <c r="B205" s="4"/>
      <c r="C205" s="73"/>
      <c r="D205" s="253">
        <v>0.15</v>
      </c>
      <c r="E205" s="114" t="s">
        <v>186</v>
      </c>
      <c r="F205" s="72"/>
      <c r="G205" s="5"/>
      <c r="H205" s="5"/>
      <c r="I205" s="5"/>
      <c r="J205" s="11"/>
      <c r="K205" s="6"/>
    </row>
    <row r="206" spans="2:11" ht="14.25" hidden="1" outlineLevel="2">
      <c r="B206" s="4"/>
      <c r="C206" s="10"/>
      <c r="D206" s="263" t="s">
        <v>376</v>
      </c>
      <c r="E206" s="5"/>
      <c r="F206" s="5"/>
      <c r="G206" s="5"/>
      <c r="H206" s="5"/>
      <c r="I206" s="5"/>
      <c r="J206" s="11"/>
      <c r="K206" s="6"/>
    </row>
    <row r="207" spans="2:11" ht="14.25" hidden="1" outlineLevel="2">
      <c r="B207" s="4"/>
      <c r="C207" s="10"/>
      <c r="D207" s="5"/>
      <c r="E207" s="5"/>
      <c r="F207" s="5"/>
      <c r="G207" s="5"/>
      <c r="H207" s="5"/>
      <c r="I207" s="5"/>
      <c r="J207" s="11"/>
      <c r="K207" s="6"/>
    </row>
    <row r="208" spans="2:11" ht="15" customHeight="1" hidden="1" outlineLevel="1" collapsed="1">
      <c r="B208" s="4"/>
      <c r="C208" s="481" t="s">
        <v>92</v>
      </c>
      <c r="D208" s="482"/>
      <c r="E208" s="482"/>
      <c r="F208" s="482"/>
      <c r="G208" s="482"/>
      <c r="H208" s="482"/>
      <c r="I208" s="482"/>
      <c r="J208" s="483"/>
      <c r="K208" s="6"/>
    </row>
    <row r="209" spans="2:11" ht="14.25" hidden="1" outlineLevel="1">
      <c r="B209" s="4"/>
      <c r="C209" s="5"/>
      <c r="D209" s="5"/>
      <c r="E209" s="5"/>
      <c r="F209" s="5"/>
      <c r="G209" s="5"/>
      <c r="H209" s="5"/>
      <c r="I209" s="5"/>
      <c r="J209" s="5"/>
      <c r="K209" s="6"/>
    </row>
    <row r="210" spans="2:11" ht="14.25" hidden="1" outlineLevel="2">
      <c r="B210" s="4"/>
      <c r="C210" s="7"/>
      <c r="D210" s="8"/>
      <c r="E210" s="8"/>
      <c r="F210" s="8"/>
      <c r="G210" s="8"/>
      <c r="H210" s="8"/>
      <c r="I210" s="8"/>
      <c r="J210" s="9"/>
      <c r="K210" s="6"/>
    </row>
    <row r="211" spans="2:12" ht="14.25" hidden="1" outlineLevel="2">
      <c r="B211" s="4"/>
      <c r="C211" s="73"/>
      <c r="D211" s="176" t="s">
        <v>330</v>
      </c>
      <c r="E211" s="229" t="s">
        <v>334</v>
      </c>
      <c r="F211" s="152"/>
      <c r="G211" s="152"/>
      <c r="H211" s="152"/>
      <c r="I211" s="152"/>
      <c r="J211" s="11"/>
      <c r="K211" s="6"/>
      <c r="L211" s="121"/>
    </row>
    <row r="212" spans="2:11" ht="14.25" hidden="1" outlineLevel="2">
      <c r="B212" s="4"/>
      <c r="C212" s="73"/>
      <c r="D212" s="238">
        <v>0.7</v>
      </c>
      <c r="E212" s="252" t="s">
        <v>213</v>
      </c>
      <c r="F212" s="72"/>
      <c r="G212" s="5"/>
      <c r="H212" s="5"/>
      <c r="I212" s="5"/>
      <c r="J212" s="11"/>
      <c r="K212" s="6"/>
    </row>
    <row r="213" spans="2:11" ht="14.25" hidden="1" outlineLevel="2">
      <c r="B213" s="4"/>
      <c r="C213" s="73"/>
      <c r="D213" s="238">
        <v>0.7</v>
      </c>
      <c r="E213" s="114" t="s">
        <v>122</v>
      </c>
      <c r="F213" s="72"/>
      <c r="G213" s="5"/>
      <c r="H213" s="5"/>
      <c r="I213" s="5"/>
      <c r="J213" s="11"/>
      <c r="K213" s="6"/>
    </row>
    <row r="214" spans="2:12" ht="14.25" hidden="1" outlineLevel="2">
      <c r="B214" s="4"/>
      <c r="C214" s="73"/>
      <c r="D214" s="238">
        <v>0.35</v>
      </c>
      <c r="E214" s="114" t="s">
        <v>185</v>
      </c>
      <c r="F214" s="152"/>
      <c r="G214" s="152"/>
      <c r="H214" s="152"/>
      <c r="I214" s="152"/>
      <c r="J214" s="11"/>
      <c r="K214" s="6"/>
      <c r="L214" s="121"/>
    </row>
    <row r="215" spans="2:11" ht="14.25" hidden="1" outlineLevel="2">
      <c r="B215" s="4"/>
      <c r="C215" s="73"/>
      <c r="D215" s="238">
        <v>0.15</v>
      </c>
      <c r="E215" s="114" t="s">
        <v>121</v>
      </c>
      <c r="F215" s="72"/>
      <c r="G215" s="5"/>
      <c r="H215" s="5"/>
      <c r="I215" s="5"/>
      <c r="J215" s="11"/>
      <c r="K215" s="6"/>
    </row>
    <row r="216" spans="2:11" ht="14.25" hidden="1" outlineLevel="2">
      <c r="B216" s="4"/>
      <c r="C216" s="73"/>
      <c r="D216" s="253">
        <v>0.1</v>
      </c>
      <c r="E216" s="114" t="s">
        <v>186</v>
      </c>
      <c r="F216" s="72"/>
      <c r="G216" s="5"/>
      <c r="H216" s="5"/>
      <c r="I216" s="5"/>
      <c r="J216" s="11"/>
      <c r="K216" s="6"/>
    </row>
    <row r="217" spans="2:11" ht="14.25" hidden="1" outlineLevel="2">
      <c r="B217" s="4"/>
      <c r="C217" s="10"/>
      <c r="D217" s="263" t="s">
        <v>376</v>
      </c>
      <c r="E217" s="5"/>
      <c r="F217" s="5"/>
      <c r="G217" s="5"/>
      <c r="H217" s="5"/>
      <c r="I217" s="5"/>
      <c r="J217" s="11"/>
      <c r="K217" s="6"/>
    </row>
    <row r="218" spans="2:11" ht="14.25" hidden="1" outlineLevel="2">
      <c r="B218" s="4"/>
      <c r="C218" s="10"/>
      <c r="D218" s="5"/>
      <c r="E218" s="5"/>
      <c r="F218" s="5"/>
      <c r="G218" s="5"/>
      <c r="H218" s="5"/>
      <c r="I218" s="5"/>
      <c r="J218" s="11"/>
      <c r="K218" s="6"/>
    </row>
    <row r="219" spans="2:11" ht="15" customHeight="1" hidden="1" outlineLevel="1" collapsed="1">
      <c r="B219" s="4"/>
      <c r="C219" s="481" t="s">
        <v>101</v>
      </c>
      <c r="D219" s="482"/>
      <c r="E219" s="482"/>
      <c r="F219" s="482"/>
      <c r="G219" s="482"/>
      <c r="H219" s="482"/>
      <c r="I219" s="482"/>
      <c r="J219" s="483"/>
      <c r="K219" s="6"/>
    </row>
    <row r="220" spans="2:11" ht="14.25" hidden="1" outlineLevel="1">
      <c r="B220" s="4"/>
      <c r="C220" s="5"/>
      <c r="D220" s="5"/>
      <c r="E220" s="5"/>
      <c r="F220" s="5"/>
      <c r="G220" s="5"/>
      <c r="H220" s="5"/>
      <c r="I220" s="5"/>
      <c r="J220" s="5"/>
      <c r="K220" s="6"/>
    </row>
    <row r="221" spans="2:11" ht="14.25" hidden="1" outlineLevel="2">
      <c r="B221" s="4"/>
      <c r="C221" s="7"/>
      <c r="D221" s="8"/>
      <c r="E221" s="8"/>
      <c r="F221" s="8"/>
      <c r="G221" s="8"/>
      <c r="H221" s="8"/>
      <c r="I221" s="8"/>
      <c r="J221" s="9"/>
      <c r="K221" s="6"/>
    </row>
    <row r="222" spans="2:11" ht="14.25" hidden="1" outlineLevel="3">
      <c r="B222" s="4"/>
      <c r="C222" s="10"/>
      <c r="D222" s="7"/>
      <c r="E222" s="8"/>
      <c r="F222" s="8"/>
      <c r="G222" s="8"/>
      <c r="H222" s="8"/>
      <c r="I222" s="9"/>
      <c r="J222" s="11"/>
      <c r="K222" s="6"/>
    </row>
    <row r="223" spans="2:11" ht="14.25" hidden="1" outlineLevel="3">
      <c r="B223" s="4"/>
      <c r="C223" s="10"/>
      <c r="D223" s="10"/>
      <c r="E223" s="176" t="s">
        <v>330</v>
      </c>
      <c r="F223" s="229" t="s">
        <v>335</v>
      </c>
      <c r="G223" s="5"/>
      <c r="H223" s="5"/>
      <c r="I223" s="11"/>
      <c r="J223" s="11"/>
      <c r="K223" s="6"/>
    </row>
    <row r="224" spans="2:11" ht="14.25" hidden="1" outlineLevel="3">
      <c r="B224" s="4"/>
      <c r="C224" s="10"/>
      <c r="D224" s="10"/>
      <c r="E224" s="238">
        <v>0.65</v>
      </c>
      <c r="F224" s="252" t="s">
        <v>213</v>
      </c>
      <c r="G224" s="5"/>
      <c r="H224" s="5"/>
      <c r="I224" s="11"/>
      <c r="J224" s="11"/>
      <c r="K224" s="6"/>
    </row>
    <row r="225" spans="2:11" ht="14.25" hidden="1" outlineLevel="3">
      <c r="B225" s="4"/>
      <c r="C225" s="10"/>
      <c r="D225" s="10"/>
      <c r="E225" s="238">
        <v>0.65</v>
      </c>
      <c r="F225" s="114" t="s">
        <v>122</v>
      </c>
      <c r="G225" s="5"/>
      <c r="H225" s="5"/>
      <c r="I225" s="11"/>
      <c r="J225" s="11"/>
      <c r="K225" s="6"/>
    </row>
    <row r="226" spans="2:11" ht="14.25" hidden="1" outlineLevel="3">
      <c r="B226" s="4"/>
      <c r="C226" s="10"/>
      <c r="D226" s="10"/>
      <c r="E226" s="238">
        <v>0.3</v>
      </c>
      <c r="F226" s="114" t="s">
        <v>185</v>
      </c>
      <c r="G226" s="5"/>
      <c r="H226" s="5"/>
      <c r="I226" s="11"/>
      <c r="J226" s="11"/>
      <c r="K226" s="6"/>
    </row>
    <row r="227" spans="2:11" ht="14.25" hidden="1" outlineLevel="3">
      <c r="B227" s="4"/>
      <c r="C227" s="10"/>
      <c r="D227" s="10"/>
      <c r="E227" s="238">
        <v>0.1</v>
      </c>
      <c r="F227" s="114" t="s">
        <v>121</v>
      </c>
      <c r="G227" s="5"/>
      <c r="H227" s="5"/>
      <c r="I227" s="11"/>
      <c r="J227" s="11"/>
      <c r="K227" s="6"/>
    </row>
    <row r="228" spans="2:11" ht="14.25" hidden="1" outlineLevel="3">
      <c r="B228" s="4"/>
      <c r="C228" s="10"/>
      <c r="D228" s="10"/>
      <c r="E228" s="253">
        <v>0.05</v>
      </c>
      <c r="F228" s="114" t="s">
        <v>186</v>
      </c>
      <c r="G228" s="5"/>
      <c r="H228" s="5"/>
      <c r="I228" s="11"/>
      <c r="J228" s="11"/>
      <c r="K228" s="6"/>
    </row>
    <row r="229" spans="2:11" ht="14.25" hidden="1" outlineLevel="3">
      <c r="B229" s="4"/>
      <c r="C229" s="10"/>
      <c r="D229" s="10"/>
      <c r="E229" s="263" t="s">
        <v>376</v>
      </c>
      <c r="F229" s="114"/>
      <c r="G229" s="5"/>
      <c r="H229" s="5"/>
      <c r="I229" s="11"/>
      <c r="J229" s="11"/>
      <c r="K229" s="6"/>
    </row>
    <row r="230" spans="2:11" ht="14.25" hidden="1" outlineLevel="3">
      <c r="B230" s="4"/>
      <c r="C230" s="10"/>
      <c r="D230" s="10"/>
      <c r="E230" s="5"/>
      <c r="F230" s="5"/>
      <c r="G230" s="5"/>
      <c r="H230" s="5"/>
      <c r="I230" s="11"/>
      <c r="J230" s="11"/>
      <c r="K230" s="6"/>
    </row>
    <row r="231" spans="2:11" ht="14.25" hidden="1" outlineLevel="2" collapsed="1">
      <c r="B231" s="4"/>
      <c r="C231" s="10"/>
      <c r="D231" s="492" t="s">
        <v>18</v>
      </c>
      <c r="E231" s="493"/>
      <c r="F231" s="493"/>
      <c r="G231" s="493"/>
      <c r="H231" s="493"/>
      <c r="I231" s="494"/>
      <c r="J231" s="11"/>
      <c r="K231" s="6"/>
    </row>
    <row r="232" spans="2:12" ht="14.25" hidden="1" outlineLevel="2">
      <c r="B232" s="4"/>
      <c r="C232" s="73"/>
      <c r="F232" s="152"/>
      <c r="G232" s="152"/>
      <c r="H232" s="152"/>
      <c r="I232" s="152"/>
      <c r="J232" s="11"/>
      <c r="K232" s="6"/>
      <c r="L232" s="121"/>
    </row>
    <row r="233" spans="2:11" ht="14.25" hidden="1" outlineLevel="3">
      <c r="B233" s="4"/>
      <c r="C233" s="10"/>
      <c r="D233" s="7"/>
      <c r="E233" s="8"/>
      <c r="F233" s="8"/>
      <c r="G233" s="8"/>
      <c r="H233" s="8"/>
      <c r="I233" s="9"/>
      <c r="J233" s="11"/>
      <c r="K233" s="6"/>
    </row>
    <row r="234" spans="2:11" ht="14.25" hidden="1" outlineLevel="3">
      <c r="B234" s="4"/>
      <c r="C234" s="10"/>
      <c r="D234" s="10"/>
      <c r="E234" s="176" t="s">
        <v>330</v>
      </c>
      <c r="F234" s="229" t="s">
        <v>339</v>
      </c>
      <c r="G234" s="5"/>
      <c r="H234" s="5"/>
      <c r="I234" s="11"/>
      <c r="J234" s="11"/>
      <c r="K234" s="6"/>
    </row>
    <row r="235" spans="2:11" ht="14.25" hidden="1" outlineLevel="3">
      <c r="B235" s="4"/>
      <c r="C235" s="10"/>
      <c r="D235" s="10"/>
      <c r="E235" s="238">
        <v>0.05</v>
      </c>
      <c r="F235" t="s">
        <v>338</v>
      </c>
      <c r="G235" s="5"/>
      <c r="H235" s="5"/>
      <c r="I235" s="11"/>
      <c r="J235" s="11"/>
      <c r="K235" s="6"/>
    </row>
    <row r="236" spans="2:11" ht="14.25" hidden="1" outlineLevel="3">
      <c r="B236" s="4"/>
      <c r="C236" s="10"/>
      <c r="D236" s="10"/>
      <c r="E236" s="238">
        <v>0.15</v>
      </c>
      <c r="F236" s="137" t="s">
        <v>337</v>
      </c>
      <c r="G236" s="5"/>
      <c r="H236" s="5"/>
      <c r="I236" s="11"/>
      <c r="J236" s="11"/>
      <c r="K236" s="6"/>
    </row>
    <row r="237" spans="2:11" ht="14.25" hidden="1" outlineLevel="3">
      <c r="B237" s="4"/>
      <c r="C237" s="10"/>
      <c r="D237" s="10"/>
      <c r="E237" s="5"/>
      <c r="F237" s="5"/>
      <c r="G237" s="5"/>
      <c r="H237" s="5"/>
      <c r="I237" s="11"/>
      <c r="J237" s="11"/>
      <c r="K237" s="6"/>
    </row>
    <row r="238" spans="2:11" ht="15" customHeight="1" hidden="1" outlineLevel="2" collapsed="1">
      <c r="B238" s="4"/>
      <c r="C238" s="10"/>
      <c r="D238" s="363" t="s">
        <v>19</v>
      </c>
      <c r="E238" s="364"/>
      <c r="F238" s="364"/>
      <c r="G238" s="364"/>
      <c r="H238" s="364"/>
      <c r="I238" s="365"/>
      <c r="J238" s="11"/>
      <c r="K238" s="6"/>
    </row>
    <row r="239" spans="2:11" ht="14.25" hidden="1" outlineLevel="2">
      <c r="B239" s="4"/>
      <c r="C239" s="73"/>
      <c r="F239" s="72"/>
      <c r="G239" s="5"/>
      <c r="H239" s="5"/>
      <c r="I239" s="5"/>
      <c r="J239" s="11"/>
      <c r="K239" s="6"/>
    </row>
    <row r="240" spans="2:11" ht="14.25" hidden="1" outlineLevel="3">
      <c r="B240" s="4"/>
      <c r="C240" s="10"/>
      <c r="D240" s="7"/>
      <c r="E240" s="8"/>
      <c r="F240" s="8"/>
      <c r="G240" s="8"/>
      <c r="H240" s="8"/>
      <c r="I240" s="9"/>
      <c r="J240" s="11"/>
      <c r="K240" s="6"/>
    </row>
    <row r="241" spans="2:11" ht="14.25" hidden="1" outlineLevel="3">
      <c r="B241" s="4"/>
      <c r="C241" s="10"/>
      <c r="D241" s="10"/>
      <c r="E241" s="176" t="s">
        <v>329</v>
      </c>
      <c r="F241" s="229"/>
      <c r="G241" s="5"/>
      <c r="H241" s="5"/>
      <c r="I241" s="11"/>
      <c r="J241" s="11"/>
      <c r="K241" s="6"/>
    </row>
    <row r="242" spans="2:11" ht="14.25" hidden="1" outlineLevel="3">
      <c r="B242" s="4"/>
      <c r="C242" s="10"/>
      <c r="D242" s="10"/>
      <c r="E242" s="238">
        <v>0.2</v>
      </c>
      <c r="F242" t="s">
        <v>379</v>
      </c>
      <c r="G242" s="5"/>
      <c r="H242" s="5"/>
      <c r="I242" s="11"/>
      <c r="J242" s="11"/>
      <c r="K242" s="6"/>
    </row>
    <row r="243" spans="2:11" ht="14.25" hidden="1" outlineLevel="3">
      <c r="B243" s="4"/>
      <c r="C243" s="10"/>
      <c r="D243" s="10"/>
      <c r="E243" s="5"/>
      <c r="F243" s="5"/>
      <c r="G243" s="5"/>
      <c r="H243" s="5"/>
      <c r="I243" s="11"/>
      <c r="J243" s="11"/>
      <c r="K243" s="6"/>
    </row>
    <row r="244" spans="2:11" ht="15" customHeight="1" hidden="1" outlineLevel="2" collapsed="1">
      <c r="B244" s="4"/>
      <c r="C244" s="10"/>
      <c r="D244" s="372" t="s">
        <v>20</v>
      </c>
      <c r="E244" s="373"/>
      <c r="F244" s="373"/>
      <c r="G244" s="373"/>
      <c r="H244" s="373"/>
      <c r="I244" s="373"/>
      <c r="J244" s="11"/>
      <c r="K244" s="6"/>
    </row>
    <row r="245" spans="2:11" ht="14.25" hidden="1" outlineLevel="2">
      <c r="B245" s="4"/>
      <c r="C245" s="73"/>
      <c r="F245" s="72"/>
      <c r="G245" s="5"/>
      <c r="H245" s="5"/>
      <c r="I245" s="5"/>
      <c r="J245" s="11"/>
      <c r="K245" s="6"/>
    </row>
    <row r="246" spans="2:11" ht="14.25" hidden="1" outlineLevel="3">
      <c r="B246" s="4"/>
      <c r="C246" s="10"/>
      <c r="D246" s="7"/>
      <c r="E246" s="8"/>
      <c r="F246" s="8"/>
      <c r="G246" s="8"/>
      <c r="H246" s="8"/>
      <c r="I246" s="9"/>
      <c r="J246" s="11"/>
      <c r="K246" s="6"/>
    </row>
    <row r="247" spans="2:11" ht="14.25" hidden="1" outlineLevel="3">
      <c r="B247" s="4"/>
      <c r="C247" s="10"/>
      <c r="D247" s="10"/>
      <c r="E247" s="176" t="s">
        <v>329</v>
      </c>
      <c r="F247" s="229"/>
      <c r="G247" s="5"/>
      <c r="H247" s="5"/>
      <c r="I247" s="11"/>
      <c r="J247" s="11"/>
      <c r="K247" s="6"/>
    </row>
    <row r="248" spans="2:11" ht="14.25" hidden="1" outlineLevel="3">
      <c r="B248" s="4"/>
      <c r="C248" s="10"/>
      <c r="D248" s="10"/>
      <c r="E248" s="238">
        <v>0.1</v>
      </c>
      <c r="F248" t="s">
        <v>380</v>
      </c>
      <c r="G248" s="5"/>
      <c r="H248" s="5"/>
      <c r="I248" s="11"/>
      <c r="J248" s="11"/>
      <c r="K248" s="6"/>
    </row>
    <row r="249" spans="2:11" ht="14.25" hidden="1" outlineLevel="3">
      <c r="B249" s="4"/>
      <c r="C249" s="10"/>
      <c r="D249" s="10"/>
      <c r="E249" s="5"/>
      <c r="F249" s="5"/>
      <c r="G249" s="5"/>
      <c r="H249" s="5"/>
      <c r="I249" s="11"/>
      <c r="J249" s="11"/>
      <c r="K249" s="6"/>
    </row>
    <row r="250" spans="2:11" ht="15" customHeight="1" hidden="1" outlineLevel="2" collapsed="1">
      <c r="B250" s="4"/>
      <c r="C250" s="10"/>
      <c r="D250" s="375" t="s">
        <v>21</v>
      </c>
      <c r="E250" s="375"/>
      <c r="F250" s="375"/>
      <c r="G250" s="375"/>
      <c r="H250" s="375"/>
      <c r="I250" s="375"/>
      <c r="J250" s="11"/>
      <c r="K250" s="6"/>
    </row>
    <row r="251" spans="2:12" ht="14.25" hidden="1" outlineLevel="2">
      <c r="B251" s="4"/>
      <c r="C251" s="73"/>
      <c r="F251" s="152"/>
      <c r="G251" s="152"/>
      <c r="H251" s="152"/>
      <c r="I251" s="152"/>
      <c r="J251" s="11"/>
      <c r="K251" s="6"/>
      <c r="L251" s="121"/>
    </row>
    <row r="252" spans="2:11" ht="14.25" hidden="1" outlineLevel="3">
      <c r="B252" s="4"/>
      <c r="C252" s="10"/>
      <c r="D252" s="7"/>
      <c r="E252" s="8"/>
      <c r="F252" s="8"/>
      <c r="G252" s="8"/>
      <c r="H252" s="8"/>
      <c r="I252" s="9"/>
      <c r="J252" s="11"/>
      <c r="K252" s="6"/>
    </row>
    <row r="253" spans="2:11" ht="14.25" hidden="1" outlineLevel="3">
      <c r="B253" s="4"/>
      <c r="C253" s="10"/>
      <c r="D253" s="10"/>
      <c r="E253" s="176" t="s">
        <v>329</v>
      </c>
      <c r="F253" s="229"/>
      <c r="G253" s="5"/>
      <c r="H253" s="5"/>
      <c r="I253" s="11"/>
      <c r="J253" s="11"/>
      <c r="K253" s="6"/>
    </row>
    <row r="254" spans="2:11" ht="14.25" hidden="1" outlineLevel="3">
      <c r="B254" s="4"/>
      <c r="C254" s="10"/>
      <c r="D254" s="10"/>
      <c r="E254" s="238">
        <v>0.15</v>
      </c>
      <c r="F254" t="s">
        <v>381</v>
      </c>
      <c r="G254" s="5"/>
      <c r="H254" s="5"/>
      <c r="I254" s="11"/>
      <c r="J254" s="11"/>
      <c r="K254" s="6"/>
    </row>
    <row r="255" spans="2:11" ht="14.25" hidden="1" outlineLevel="3">
      <c r="B255" s="4"/>
      <c r="C255" s="10"/>
      <c r="D255" s="10"/>
      <c r="E255" s="259">
        <v>0.25</v>
      </c>
      <c r="F255" s="74" t="s">
        <v>341</v>
      </c>
      <c r="G255" s="5"/>
      <c r="I255" s="11"/>
      <c r="J255" s="11"/>
      <c r="K255" s="6"/>
    </row>
    <row r="256" spans="2:11" ht="14.25" hidden="1" outlineLevel="3">
      <c r="B256" s="4"/>
      <c r="C256" s="10"/>
      <c r="D256" s="10"/>
      <c r="E256" s="259">
        <v>0.65</v>
      </c>
      <c r="F256" s="74" t="s">
        <v>342</v>
      </c>
      <c r="G256" s="5"/>
      <c r="H256" s="5"/>
      <c r="I256" s="11"/>
      <c r="J256" s="11"/>
      <c r="K256" s="6"/>
    </row>
    <row r="257" spans="2:11" ht="14.25" hidden="1" outlineLevel="3">
      <c r="B257" s="4"/>
      <c r="C257" s="10"/>
      <c r="D257" s="10"/>
      <c r="G257" s="5"/>
      <c r="I257" s="11"/>
      <c r="J257" s="11"/>
      <c r="K257" s="6"/>
    </row>
    <row r="258" spans="2:11" ht="16.5" hidden="1" outlineLevel="3">
      <c r="B258" s="4"/>
      <c r="C258" s="10"/>
      <c r="D258" s="10"/>
      <c r="E258" s="224">
        <f>INPUT!C9</f>
        <v>0.22</v>
      </c>
      <c r="F258" s="5" t="s">
        <v>426</v>
      </c>
      <c r="G258" s="5"/>
      <c r="H258" s="5"/>
      <c r="I258" s="11"/>
      <c r="J258" s="11"/>
      <c r="K258" s="6"/>
    </row>
    <row r="259" spans="2:11" ht="16.5" hidden="1" outlineLevel="3">
      <c r="B259" s="4"/>
      <c r="C259" s="10"/>
      <c r="D259" s="10"/>
      <c r="E259" s="196">
        <v>0.121</v>
      </c>
      <c r="F259" s="5" t="s">
        <v>427</v>
      </c>
      <c r="G259" s="5"/>
      <c r="H259" s="258"/>
      <c r="I259" s="11"/>
      <c r="J259" s="11"/>
      <c r="K259" s="6"/>
    </row>
    <row r="260" spans="2:11" ht="14.25" hidden="1" outlineLevel="3">
      <c r="B260" s="4"/>
      <c r="C260" s="10"/>
      <c r="D260" s="10"/>
      <c r="E260" s="227"/>
      <c r="F260" s="285" t="s">
        <v>420</v>
      </c>
      <c r="G260" s="5"/>
      <c r="H260" s="258"/>
      <c r="I260" s="11"/>
      <c r="J260" s="11"/>
      <c r="K260" s="6"/>
    </row>
    <row r="261" spans="2:11" ht="14.25" hidden="1" outlineLevel="3">
      <c r="B261" s="4"/>
      <c r="C261" s="10"/>
      <c r="D261" s="10"/>
      <c r="E261" s="227"/>
      <c r="F261" s="160" t="s">
        <v>316</v>
      </c>
      <c r="G261" s="280" t="s">
        <v>421</v>
      </c>
      <c r="H261" s="281"/>
      <c r="I261" s="11"/>
      <c r="J261" s="11"/>
      <c r="K261" s="6"/>
    </row>
    <row r="262" spans="2:11" ht="14.25" hidden="1" outlineLevel="3">
      <c r="B262" s="4"/>
      <c r="C262" s="10"/>
      <c r="D262" s="10"/>
      <c r="E262" s="227"/>
      <c r="F262" s="160" t="s">
        <v>314</v>
      </c>
      <c r="G262" s="283">
        <v>0.218</v>
      </c>
      <c r="H262" s="282"/>
      <c r="I262" s="11"/>
      <c r="J262" s="11"/>
      <c r="K262" s="6"/>
    </row>
    <row r="263" spans="2:11" ht="14.25" hidden="1" outlineLevel="3">
      <c r="B263" s="4"/>
      <c r="C263" s="10"/>
      <c r="D263" s="10"/>
      <c r="E263" s="227"/>
      <c r="F263" s="160" t="s">
        <v>424</v>
      </c>
      <c r="G263" s="283">
        <v>0.256</v>
      </c>
      <c r="H263" s="282"/>
      <c r="I263" s="11"/>
      <c r="J263" s="11"/>
      <c r="K263" s="6"/>
    </row>
    <row r="264" spans="2:11" ht="14.25" hidden="1" outlineLevel="3">
      <c r="B264" s="4"/>
      <c r="C264" s="10"/>
      <c r="D264" s="10"/>
      <c r="E264" s="227"/>
      <c r="F264" s="160" t="s">
        <v>422</v>
      </c>
      <c r="G264" s="283">
        <v>0.173</v>
      </c>
      <c r="H264" s="282"/>
      <c r="I264" s="11"/>
      <c r="J264" s="11"/>
      <c r="K264" s="6"/>
    </row>
    <row r="265" spans="2:11" ht="14.25" hidden="1" outlineLevel="3">
      <c r="B265" s="4"/>
      <c r="C265" s="10"/>
      <c r="D265" s="10"/>
      <c r="E265" s="227"/>
      <c r="F265" s="160" t="s">
        <v>315</v>
      </c>
      <c r="G265" s="283">
        <v>0.121</v>
      </c>
      <c r="H265" s="282"/>
      <c r="I265" s="11"/>
      <c r="J265" s="11"/>
      <c r="K265" s="6"/>
    </row>
    <row r="266" spans="2:11" ht="14.25" hidden="1" outlineLevel="3">
      <c r="B266" s="4"/>
      <c r="C266" s="10"/>
      <c r="D266" s="10"/>
      <c r="E266" s="227"/>
      <c r="F266" s="160" t="s">
        <v>423</v>
      </c>
      <c r="G266" s="283">
        <v>0.232</v>
      </c>
      <c r="H266" s="282"/>
      <c r="I266" s="11"/>
      <c r="J266" s="11"/>
      <c r="K266" s="6"/>
    </row>
    <row r="267" spans="2:11" ht="14.25" hidden="1" outlineLevel="3">
      <c r="B267" s="4"/>
      <c r="C267" s="10"/>
      <c r="D267" s="10"/>
      <c r="E267" s="227"/>
      <c r="F267" s="160" t="s">
        <v>135</v>
      </c>
      <c r="G267" s="283">
        <f>SUM(G262:G266)</f>
        <v>1</v>
      </c>
      <c r="H267" s="282"/>
      <c r="I267" s="11"/>
      <c r="J267" s="11"/>
      <c r="K267" s="6"/>
    </row>
    <row r="268" spans="2:11" ht="14.25" hidden="1" outlineLevel="3">
      <c r="B268" s="4"/>
      <c r="C268" s="10"/>
      <c r="D268" s="10"/>
      <c r="E268" s="227"/>
      <c r="F268" s="284" t="s">
        <v>425</v>
      </c>
      <c r="G268" s="5"/>
      <c r="H268" s="5"/>
      <c r="I268" s="11"/>
      <c r="J268" s="11"/>
      <c r="K268" s="6"/>
    </row>
    <row r="269" spans="2:11" ht="14.25" hidden="1" outlineLevel="3">
      <c r="B269" s="4"/>
      <c r="C269" s="10"/>
      <c r="D269" s="10"/>
      <c r="E269" s="5"/>
      <c r="F269" s="5"/>
      <c r="G269" s="5"/>
      <c r="H269" s="5"/>
      <c r="I269" s="11"/>
      <c r="J269" s="11"/>
      <c r="K269" s="6"/>
    </row>
    <row r="270" spans="2:11" ht="15" customHeight="1" hidden="1" outlineLevel="2" collapsed="1">
      <c r="B270" s="4"/>
      <c r="C270" s="10"/>
      <c r="D270" s="355" t="s">
        <v>22</v>
      </c>
      <c r="E270" s="356"/>
      <c r="F270" s="356"/>
      <c r="G270" s="356"/>
      <c r="H270" s="356"/>
      <c r="I270" s="356"/>
      <c r="J270" s="11"/>
      <c r="K270" s="6"/>
    </row>
    <row r="271" spans="2:11" ht="14.25" hidden="1" outlineLevel="2">
      <c r="B271" s="4"/>
      <c r="C271" s="73"/>
      <c r="F271" s="72"/>
      <c r="G271" s="5"/>
      <c r="H271" s="5"/>
      <c r="I271" s="5"/>
      <c r="J271" s="11"/>
      <c r="K271" s="6"/>
    </row>
    <row r="272" spans="2:11" ht="14.25" hidden="1" outlineLevel="3">
      <c r="B272" s="4"/>
      <c r="C272" s="10"/>
      <c r="D272" s="7"/>
      <c r="E272" s="8"/>
      <c r="F272" s="8"/>
      <c r="G272" s="8"/>
      <c r="H272" s="8"/>
      <c r="I272" s="9"/>
      <c r="J272" s="11"/>
      <c r="K272" s="6"/>
    </row>
    <row r="273" spans="2:11" ht="14.25" hidden="1" outlineLevel="3">
      <c r="B273" s="4"/>
      <c r="C273" s="10"/>
      <c r="D273" s="10"/>
      <c r="E273" s="176" t="s">
        <v>329</v>
      </c>
      <c r="F273" s="229"/>
      <c r="G273" s="5"/>
      <c r="H273" s="5"/>
      <c r="I273" s="11"/>
      <c r="J273" s="11"/>
      <c r="K273" s="6"/>
    </row>
    <row r="274" spans="2:11" ht="14.25" hidden="1" outlineLevel="3">
      <c r="B274" s="4"/>
      <c r="C274" s="10"/>
      <c r="D274" s="10"/>
      <c r="E274" s="238">
        <v>0.25</v>
      </c>
      <c r="F274" t="s">
        <v>382</v>
      </c>
      <c r="G274" s="5"/>
      <c r="H274" s="5"/>
      <c r="I274" s="11"/>
      <c r="J274" s="11"/>
      <c r="K274" s="6"/>
    </row>
    <row r="275" spans="2:11" ht="14.25" hidden="1" outlineLevel="3">
      <c r="B275" s="4"/>
      <c r="C275" s="10"/>
      <c r="D275" s="10"/>
      <c r="E275" s="5"/>
      <c r="F275" s="5"/>
      <c r="G275" s="5"/>
      <c r="H275" s="5"/>
      <c r="I275" s="11"/>
      <c r="J275" s="11"/>
      <c r="K275" s="6"/>
    </row>
    <row r="276" spans="2:11" ht="15" customHeight="1" hidden="1" outlineLevel="2" collapsed="1">
      <c r="B276" s="4"/>
      <c r="C276" s="10"/>
      <c r="D276" s="484" t="s">
        <v>346</v>
      </c>
      <c r="E276" s="485"/>
      <c r="F276" s="485"/>
      <c r="G276" s="485"/>
      <c r="H276" s="485"/>
      <c r="I276" s="485"/>
      <c r="J276" s="11"/>
      <c r="K276" s="6"/>
    </row>
    <row r="277" spans="2:11" ht="14.25" hidden="1" outlineLevel="2">
      <c r="B277" s="4"/>
      <c r="C277" s="73"/>
      <c r="F277" s="72"/>
      <c r="G277" s="5"/>
      <c r="H277" s="5"/>
      <c r="I277" s="5"/>
      <c r="J277" s="11"/>
      <c r="K277" s="6"/>
    </row>
    <row r="278" spans="2:11" ht="15" customHeight="1" hidden="1" outlineLevel="1" collapsed="1">
      <c r="B278" s="4"/>
      <c r="C278" s="481" t="s">
        <v>93</v>
      </c>
      <c r="D278" s="482"/>
      <c r="E278" s="482"/>
      <c r="F278" s="482"/>
      <c r="G278" s="482"/>
      <c r="H278" s="482"/>
      <c r="I278" s="482"/>
      <c r="J278" s="483"/>
      <c r="K278" s="6"/>
    </row>
    <row r="279" spans="2:11" ht="15" hidden="1" outlineLevel="1" thickBot="1">
      <c r="B279" s="69"/>
      <c r="C279" s="70"/>
      <c r="D279" s="70"/>
      <c r="E279" s="70"/>
      <c r="F279" s="70"/>
      <c r="G279" s="70"/>
      <c r="H279" s="70"/>
      <c r="I279" s="70"/>
      <c r="J279" s="70"/>
      <c r="K279" s="71"/>
    </row>
    <row r="280" spans="2:11" ht="18.75" collapsed="1" thickBot="1">
      <c r="B280" s="412" t="s">
        <v>91</v>
      </c>
      <c r="C280" s="413"/>
      <c r="D280" s="413"/>
      <c r="E280" s="413"/>
      <c r="F280" s="413"/>
      <c r="G280" s="413"/>
      <c r="H280" s="413"/>
      <c r="I280" s="413"/>
      <c r="J280" s="413"/>
      <c r="K280" s="414"/>
    </row>
  </sheetData>
  <sheetProtection password="85AF" sheet="1" objects="1" scenarios="1"/>
  <mergeCells count="47">
    <mergeCell ref="D276:I276"/>
    <mergeCell ref="E181:I182"/>
    <mergeCell ref="C17:J17"/>
    <mergeCell ref="B19:K19"/>
    <mergeCell ref="C219:J219"/>
    <mergeCell ref="C278:J278"/>
    <mergeCell ref="D231:I231"/>
    <mergeCell ref="D238:I238"/>
    <mergeCell ref="D244:I244"/>
    <mergeCell ref="D250:I250"/>
    <mergeCell ref="D270:I270"/>
    <mergeCell ref="C126:J126"/>
    <mergeCell ref="C167:J167"/>
    <mergeCell ref="C173:J173"/>
    <mergeCell ref="C178:J178"/>
    <mergeCell ref="B128:K128"/>
    <mergeCell ref="E190:I191"/>
    <mergeCell ref="C208:J208"/>
    <mergeCell ref="C135:J135"/>
    <mergeCell ref="C140:J140"/>
    <mergeCell ref="C156:J156"/>
    <mergeCell ref="C194:J194"/>
    <mergeCell ref="C105:J105"/>
    <mergeCell ref="C83:J83"/>
    <mergeCell ref="C68:J68"/>
    <mergeCell ref="C73:J73"/>
    <mergeCell ref="C78:J78"/>
    <mergeCell ref="C100:J100"/>
    <mergeCell ref="C187:J187"/>
    <mergeCell ref="C146:J146"/>
    <mergeCell ref="B280:K280"/>
    <mergeCell ref="B196:K196"/>
    <mergeCell ref="C114:J114"/>
    <mergeCell ref="C161:J161"/>
    <mergeCell ref="C55:J55"/>
    <mergeCell ref="C60:J60"/>
    <mergeCell ref="B62:K62"/>
    <mergeCell ref="B85:K85"/>
    <mergeCell ref="C91:J91"/>
    <mergeCell ref="C120:J120"/>
    <mergeCell ref="C151:J151"/>
    <mergeCell ref="B4:K4"/>
    <mergeCell ref="C27:J27"/>
    <mergeCell ref="C33:J33"/>
    <mergeCell ref="C39:J39"/>
    <mergeCell ref="C45:J45"/>
    <mergeCell ref="B107:K10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S95"/>
  <sheetViews>
    <sheetView tabSelected="1" zoomScale="70" zoomScaleNormal="70" zoomScalePageLayoutView="0" workbookViewId="0" topLeftCell="A4">
      <selection activeCell="K11" sqref="J11:K12"/>
    </sheetView>
  </sheetViews>
  <sheetFormatPr defaultColWidth="9.140625" defaultRowHeight="15"/>
  <cols>
    <col min="1" max="1" width="1.7109375" style="14" customWidth="1"/>
    <col min="2" max="2" width="3.00390625" style="14" customWidth="1"/>
    <col min="3" max="3" width="27.140625" style="14" customWidth="1"/>
    <col min="4" max="4" width="2.57421875" style="14" customWidth="1"/>
    <col min="5" max="5" width="2.421875" style="14" customWidth="1"/>
    <col min="6" max="6" width="28.28125" style="14" customWidth="1"/>
    <col min="7" max="7" width="2.00390625" style="14" customWidth="1"/>
    <col min="8" max="8" width="2.140625" style="14" customWidth="1"/>
    <col min="9" max="9" width="27.00390625" style="14" customWidth="1"/>
    <col min="10" max="10" width="2.28125" style="14" customWidth="1"/>
    <col min="11" max="11" width="2.140625" style="14" customWidth="1"/>
    <col min="12" max="12" width="26.57421875" style="14" customWidth="1"/>
    <col min="13" max="14" width="2.140625" style="14" customWidth="1"/>
    <col min="15" max="15" width="29.7109375" style="14" customWidth="1"/>
    <col min="16" max="16" width="2.00390625" style="14" customWidth="1"/>
    <col min="17" max="17" width="2.28125" style="14" customWidth="1"/>
    <col min="18" max="16384" width="9.140625" style="14" customWidth="1"/>
  </cols>
  <sheetData>
    <row r="2" spans="3:17" ht="15" customHeight="1">
      <c r="C2" s="399" t="s">
        <v>67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1"/>
      <c r="P2" s="63"/>
      <c r="Q2" s="63"/>
    </row>
    <row r="3" spans="3:17" ht="13.5">
      <c r="C3" s="405">
        <f>'Maximum Calcs'!C7</f>
        <v>0</v>
      </c>
      <c r="D3" s="406"/>
      <c r="E3" s="406"/>
      <c r="F3" s="406"/>
      <c r="G3" s="406"/>
      <c r="H3" s="406"/>
      <c r="I3" s="406">
        <f>'Maximum Calcs'!C7</f>
        <v>0</v>
      </c>
      <c r="J3" s="406"/>
      <c r="K3" s="406"/>
      <c r="L3" s="406"/>
      <c r="M3" s="406"/>
      <c r="N3" s="406"/>
      <c r="O3" s="407"/>
      <c r="P3" s="63"/>
      <c r="Q3" s="63"/>
    </row>
    <row r="4" spans="3:17" ht="13.5">
      <c r="C4" s="246"/>
      <c r="D4" s="245"/>
      <c r="E4" s="245"/>
      <c r="F4" s="245"/>
      <c r="G4" s="245"/>
      <c r="H4" s="245"/>
      <c r="I4" s="245" t="s">
        <v>328</v>
      </c>
      <c r="J4" s="245"/>
      <c r="K4" s="245"/>
      <c r="L4" s="245"/>
      <c r="M4" s="245"/>
      <c r="N4" s="245"/>
      <c r="O4" s="247"/>
      <c r="P4" s="63"/>
      <c r="Q4" s="63"/>
    </row>
    <row r="5" spans="3:17" ht="13.5">
      <c r="C5" s="402">
        <f>'Maximum Calcs'!H7</f>
        <v>0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4"/>
      <c r="P5" s="63"/>
      <c r="Q5" s="63"/>
    </row>
    <row r="6" spans="3:17" ht="13.5">
      <c r="C6" s="64"/>
      <c r="D6" s="64"/>
      <c r="E6" s="64"/>
      <c r="F6" s="64"/>
      <c r="G6" s="64"/>
      <c r="H6" s="64"/>
      <c r="I6" s="64"/>
      <c r="J6" s="63"/>
      <c r="K6" s="63"/>
      <c r="L6" s="63"/>
      <c r="M6" s="63"/>
      <c r="N6" s="63"/>
      <c r="O6" s="65"/>
      <c r="P6" s="63"/>
      <c r="Q6" s="63"/>
    </row>
    <row r="7" spans="3:18" ht="13.5">
      <c r="C7" s="399" t="s">
        <v>68</v>
      </c>
      <c r="D7" s="400"/>
      <c r="E7" s="400"/>
      <c r="F7" s="400"/>
      <c r="G7" s="400"/>
      <c r="H7" s="400"/>
      <c r="I7" s="400"/>
      <c r="J7" s="400"/>
      <c r="K7" s="400"/>
      <c r="L7" s="401"/>
      <c r="M7" s="64"/>
      <c r="N7" s="64"/>
      <c r="O7" s="204" t="s">
        <v>301</v>
      </c>
      <c r="P7" s="66"/>
      <c r="Q7" s="66"/>
      <c r="R7" s="20"/>
    </row>
    <row r="8" spans="3:18" ht="13.5">
      <c r="C8" s="405">
        <f>'Maximum Calcs'!C26</f>
        <v>0</v>
      </c>
      <c r="D8" s="406"/>
      <c r="E8" s="406"/>
      <c r="F8" s="406"/>
      <c r="G8" s="406"/>
      <c r="H8" s="406"/>
      <c r="I8" s="406"/>
      <c r="J8" s="406"/>
      <c r="K8" s="406"/>
      <c r="L8" s="407"/>
      <c r="M8" s="64"/>
      <c r="N8" s="64"/>
      <c r="O8" s="249">
        <f>'Maximum Calcs'!D116</f>
        <v>0</v>
      </c>
      <c r="P8" s="66"/>
      <c r="Q8" s="66"/>
      <c r="R8" s="20"/>
    </row>
    <row r="9" spans="3:18" ht="13.5">
      <c r="C9" s="408" t="s">
        <v>328</v>
      </c>
      <c r="D9" s="409"/>
      <c r="E9" s="409"/>
      <c r="F9" s="409"/>
      <c r="G9" s="409"/>
      <c r="H9" s="409"/>
      <c r="I9" s="409"/>
      <c r="J9" s="409"/>
      <c r="K9" s="409"/>
      <c r="L9" s="410"/>
      <c r="M9" s="64"/>
      <c r="N9" s="64"/>
      <c r="O9" s="248" t="s">
        <v>328</v>
      </c>
      <c r="P9" s="66"/>
      <c r="Q9" s="66"/>
      <c r="R9" s="20"/>
    </row>
    <row r="10" spans="3:18" ht="24.75" customHeight="1">
      <c r="C10" s="402">
        <f>'Maximum Calcs'!H26</f>
        <v>0</v>
      </c>
      <c r="D10" s="403"/>
      <c r="E10" s="403"/>
      <c r="F10" s="403"/>
      <c r="G10" s="403"/>
      <c r="H10" s="403"/>
      <c r="I10" s="403"/>
      <c r="J10" s="403"/>
      <c r="K10" s="403"/>
      <c r="L10" s="404"/>
      <c r="M10" s="64"/>
      <c r="N10" s="64"/>
      <c r="O10" s="250">
        <f>'Maximum Calcs'!G116</f>
        <v>0</v>
      </c>
      <c r="P10" s="66"/>
      <c r="Q10" s="66"/>
      <c r="R10" s="20"/>
    </row>
    <row r="11" spans="3:17" ht="12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3:17" ht="12.75" thickBot="1">
      <c r="C12" s="15"/>
      <c r="D12" s="15"/>
      <c r="E12" s="15"/>
      <c r="F12" s="15"/>
      <c r="G12" s="15"/>
      <c r="H12" s="15"/>
      <c r="I12" s="15"/>
      <c r="J12" s="15"/>
      <c r="K12" s="15"/>
      <c r="L12" s="21"/>
      <c r="M12" s="15"/>
      <c r="N12" s="15"/>
      <c r="O12" s="21"/>
      <c r="P12" s="15"/>
      <c r="Q12" s="15"/>
    </row>
    <row r="13" spans="3:17" ht="59.25" customHeight="1" thickBot="1">
      <c r="C13" s="79" t="s">
        <v>26</v>
      </c>
      <c r="D13" s="23"/>
      <c r="E13" s="24"/>
      <c r="F13" s="80" t="s">
        <v>27</v>
      </c>
      <c r="G13" s="26"/>
      <c r="H13" s="27"/>
      <c r="I13" s="81" t="s">
        <v>28</v>
      </c>
      <c r="J13" s="26"/>
      <c r="K13" s="27"/>
      <c r="L13" s="82" t="s">
        <v>1</v>
      </c>
      <c r="M13" s="27"/>
      <c r="N13" s="27"/>
      <c r="O13" s="83" t="s">
        <v>29</v>
      </c>
      <c r="P13" s="26"/>
      <c r="Q13" s="27"/>
    </row>
    <row r="14" spans="3:17" ht="13.5">
      <c r="C14" s="85" t="s">
        <v>69</v>
      </c>
      <c r="D14" s="84"/>
      <c r="E14" s="86"/>
      <c r="F14" s="88" t="s">
        <v>69</v>
      </c>
      <c r="G14" s="67"/>
      <c r="H14" s="86"/>
      <c r="I14" s="90" t="s">
        <v>69</v>
      </c>
      <c r="J14" s="67"/>
      <c r="K14" s="86"/>
      <c r="L14" s="91" t="s">
        <v>69</v>
      </c>
      <c r="M14" s="38"/>
      <c r="N14" s="86"/>
      <c r="O14" s="93" t="s">
        <v>70</v>
      </c>
      <c r="P14" s="67"/>
      <c r="Q14" s="27"/>
    </row>
    <row r="15" spans="2:19" s="46" customFormat="1" ht="48.75" customHeight="1" thickBot="1">
      <c r="B15" s="55"/>
      <c r="C15" s="150">
        <f>'Maximum Calcs'!D47</f>
        <v>0</v>
      </c>
      <c r="D15" s="84"/>
      <c r="E15" s="86"/>
      <c r="F15" s="169">
        <f>'Maximum Calcs'!D69</f>
        <v>0</v>
      </c>
      <c r="G15" s="87"/>
      <c r="H15" s="86"/>
      <c r="I15" s="123">
        <f>'Maximum Calcs'!D86</f>
        <v>0</v>
      </c>
      <c r="J15" s="38"/>
      <c r="K15" s="86"/>
      <c r="L15" s="183">
        <f>'Maximum Calcs'!D101</f>
        <v>0</v>
      </c>
      <c r="M15" s="38"/>
      <c r="N15" s="86"/>
      <c r="O15" s="226">
        <f>'Maximum Calcs'!D128</f>
        <v>0</v>
      </c>
      <c r="P15" s="38"/>
      <c r="Q15" s="27"/>
      <c r="R15" s="14"/>
      <c r="S15" s="225"/>
    </row>
    <row r="16" spans="2:17" ht="10.5" customHeight="1">
      <c r="B16" s="19"/>
      <c r="C16" s="33"/>
      <c r="D16" s="32"/>
      <c r="E16" s="33"/>
      <c r="F16" s="33"/>
      <c r="G16" s="33"/>
      <c r="H16" s="33"/>
      <c r="I16" s="89"/>
      <c r="J16" s="33"/>
      <c r="K16" s="33"/>
      <c r="L16" s="89"/>
      <c r="M16" s="33"/>
      <c r="N16" s="33"/>
      <c r="O16" s="92"/>
      <c r="P16" s="33"/>
      <c r="Q16" s="33"/>
    </row>
    <row r="17" spans="2:17" ht="25.5">
      <c r="B17" s="19"/>
      <c r="C17" s="94" t="s">
        <v>2</v>
      </c>
      <c r="D17" s="32"/>
      <c r="E17" s="33"/>
      <c r="F17" s="96" t="s">
        <v>71</v>
      </c>
      <c r="G17" s="32"/>
      <c r="H17" s="33"/>
      <c r="I17" s="97" t="s">
        <v>72</v>
      </c>
      <c r="J17" s="33"/>
      <c r="K17" s="33"/>
      <c r="L17" s="98" t="s">
        <v>73</v>
      </c>
      <c r="M17" s="33"/>
      <c r="N17" s="33"/>
      <c r="O17" s="99" t="s">
        <v>395</v>
      </c>
      <c r="P17" s="45"/>
      <c r="Q17" s="45"/>
    </row>
    <row r="18" spans="2:17" s="46" customFormat="1" ht="51.75" customHeight="1">
      <c r="B18" s="55"/>
      <c r="C18" s="95">
        <f>'Land Use'!D7</f>
        <v>0</v>
      </c>
      <c r="D18" s="67"/>
      <c r="E18" s="38"/>
      <c r="F18" s="166">
        <f>Neighborhood!D7</f>
        <v>0</v>
      </c>
      <c r="G18" s="67"/>
      <c r="H18" s="38"/>
      <c r="I18" s="111">
        <f>Parking!D7</f>
        <v>0</v>
      </c>
      <c r="J18" s="38"/>
      <c r="K18" s="38"/>
      <c r="L18" s="170">
        <f>Transit!D7</f>
        <v>0</v>
      </c>
      <c r="M18" s="38"/>
      <c r="N18" s="38"/>
      <c r="O18" s="187">
        <f>CTR!D7</f>
        <v>0</v>
      </c>
      <c r="P18" s="38"/>
      <c r="Q18" s="38"/>
    </row>
    <row r="19" spans="2:17" ht="12.75">
      <c r="B19" s="19"/>
      <c r="C19" s="33"/>
      <c r="D19" s="32"/>
      <c r="E19" s="33"/>
      <c r="F19" s="33"/>
      <c r="G19" s="32"/>
      <c r="H19" s="33"/>
      <c r="I19" s="45"/>
      <c r="J19" s="33"/>
      <c r="K19" s="33"/>
      <c r="L19" s="33"/>
      <c r="M19" s="33"/>
      <c r="N19" s="33"/>
      <c r="O19" s="46"/>
      <c r="P19" s="33"/>
      <c r="Q19" s="33"/>
    </row>
    <row r="20" spans="2:17" ht="27.75" customHeight="1">
      <c r="B20" s="19"/>
      <c r="C20" s="94" t="s">
        <v>3</v>
      </c>
      <c r="D20" s="32"/>
      <c r="E20" s="33"/>
      <c r="F20" s="96" t="s">
        <v>74</v>
      </c>
      <c r="G20" s="32"/>
      <c r="H20" s="33"/>
      <c r="I20" s="97" t="s">
        <v>75</v>
      </c>
      <c r="J20" s="33"/>
      <c r="K20" s="33"/>
      <c r="L20" s="98" t="s">
        <v>76</v>
      </c>
      <c r="M20" s="33"/>
      <c r="N20" s="33"/>
      <c r="O20" s="99" t="s">
        <v>396</v>
      </c>
      <c r="P20" s="45"/>
      <c r="Q20" s="45"/>
    </row>
    <row r="21" spans="2:17" s="46" customFormat="1" ht="54" customHeight="1">
      <c r="B21" s="55"/>
      <c r="C21" s="95">
        <f>'Land Use'!D26</f>
        <v>0</v>
      </c>
      <c r="D21" s="67"/>
      <c r="E21" s="38"/>
      <c r="F21" s="166">
        <f>Neighborhood!D22</f>
        <v>0</v>
      </c>
      <c r="G21" s="67"/>
      <c r="H21" s="38"/>
      <c r="I21" s="111">
        <f>Parking!D20</f>
        <v>0</v>
      </c>
      <c r="J21" s="38"/>
      <c r="K21" s="38"/>
      <c r="L21" s="189">
        <f>Transit!D29</f>
        <v>0</v>
      </c>
      <c r="M21" s="38"/>
      <c r="N21" s="38"/>
      <c r="O21" s="187">
        <f>CTR!D22</f>
        <v>0</v>
      </c>
      <c r="P21" s="38"/>
      <c r="Q21" s="38"/>
    </row>
    <row r="22" spans="2:17" ht="12.75">
      <c r="B22" s="19"/>
      <c r="C22" s="33"/>
      <c r="D22" s="33"/>
      <c r="E22" s="33"/>
      <c r="F22" s="33"/>
      <c r="G22" s="33"/>
      <c r="H22" s="33"/>
      <c r="I22" s="45"/>
      <c r="J22" s="33"/>
      <c r="K22" s="33"/>
      <c r="L22" s="33"/>
      <c r="M22" s="33"/>
      <c r="N22" s="33"/>
      <c r="O22" s="46"/>
      <c r="P22" s="33"/>
      <c r="Q22" s="33"/>
    </row>
    <row r="23" spans="2:17" ht="30" customHeight="1">
      <c r="B23" s="19"/>
      <c r="C23" s="94" t="s">
        <v>5</v>
      </c>
      <c r="D23" s="33"/>
      <c r="E23" s="33"/>
      <c r="F23" s="96" t="s">
        <v>78</v>
      </c>
      <c r="G23" s="33"/>
      <c r="H23" s="33"/>
      <c r="I23" s="97" t="s">
        <v>79</v>
      </c>
      <c r="J23" s="33"/>
      <c r="K23" s="33"/>
      <c r="L23" s="98" t="s">
        <v>80</v>
      </c>
      <c r="M23" s="33"/>
      <c r="N23" s="33"/>
      <c r="O23" s="99" t="s">
        <v>397</v>
      </c>
      <c r="P23" s="45"/>
      <c r="Q23" s="45"/>
    </row>
    <row r="24" spans="2:17" s="46" customFormat="1" ht="51" customHeight="1">
      <c r="B24" s="55"/>
      <c r="C24" s="95">
        <f>'Land Use'!D45</f>
        <v>0</v>
      </c>
      <c r="D24" s="38"/>
      <c r="E24" s="38"/>
      <c r="F24" s="166">
        <f>Neighborhood!D41</f>
        <v>0</v>
      </c>
      <c r="G24" s="38"/>
      <c r="H24" s="38"/>
      <c r="I24" s="111">
        <f>Parking!D36</f>
        <v>0</v>
      </c>
      <c r="J24" s="38"/>
      <c r="K24" s="38"/>
      <c r="L24" s="170">
        <f>Transit!D58</f>
        <v>0</v>
      </c>
      <c r="M24" s="38"/>
      <c r="N24" s="38"/>
      <c r="O24" s="187">
        <f>CTR!D41</f>
        <v>0</v>
      </c>
      <c r="P24" s="38"/>
      <c r="Q24" s="38"/>
    </row>
    <row r="25" spans="2:17" ht="12">
      <c r="B25" s="1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8"/>
      <c r="P25" s="33"/>
      <c r="Q25" s="33"/>
    </row>
    <row r="26" spans="2:17" ht="28.5" customHeight="1">
      <c r="B26" s="19"/>
      <c r="C26" s="94" t="s">
        <v>13</v>
      </c>
      <c r="D26" s="33"/>
      <c r="E26" s="33"/>
      <c r="F26" s="96" t="s">
        <v>83</v>
      </c>
      <c r="G26" s="33"/>
      <c r="H26" s="33"/>
      <c r="I26" s="33"/>
      <c r="J26" s="33"/>
      <c r="K26" s="33"/>
      <c r="L26" s="33"/>
      <c r="M26" s="33"/>
      <c r="N26" s="33"/>
      <c r="O26" s="99" t="s">
        <v>398</v>
      </c>
      <c r="P26" s="45"/>
      <c r="Q26" s="45"/>
    </row>
    <row r="27" spans="2:17" s="46" customFormat="1" ht="55.5" customHeight="1">
      <c r="B27" s="55"/>
      <c r="C27" s="95">
        <f>'Land Use'!D73</f>
        <v>0</v>
      </c>
      <c r="D27" s="38"/>
      <c r="E27" s="38"/>
      <c r="F27" s="166">
        <f>Neighborhood!D54</f>
        <v>0</v>
      </c>
      <c r="G27" s="38"/>
      <c r="H27" s="38"/>
      <c r="I27" s="38"/>
      <c r="J27" s="38"/>
      <c r="K27" s="38"/>
      <c r="L27" s="38"/>
      <c r="M27" s="38"/>
      <c r="N27" s="38"/>
      <c r="O27" s="187">
        <f>CTR!D64</f>
        <v>0</v>
      </c>
      <c r="P27" s="38"/>
      <c r="Q27" s="38"/>
    </row>
    <row r="28" spans="2:17" ht="12.75">
      <c r="B28" s="1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5"/>
      <c r="P28" s="33"/>
      <c r="Q28" s="33"/>
    </row>
    <row r="29" spans="2:17" ht="25.5">
      <c r="B29" s="19"/>
      <c r="C29" s="94" t="s">
        <v>15</v>
      </c>
      <c r="D29" s="33"/>
      <c r="E29" s="33"/>
      <c r="F29" s="33"/>
      <c r="G29" s="33"/>
      <c r="H29" s="33"/>
      <c r="J29" s="33"/>
      <c r="K29" s="33"/>
      <c r="L29" s="33"/>
      <c r="M29" s="33"/>
      <c r="N29" s="33"/>
      <c r="O29" s="99" t="s">
        <v>399</v>
      </c>
      <c r="P29" s="45"/>
      <c r="Q29" s="45"/>
    </row>
    <row r="30" spans="2:17" s="46" customFormat="1" ht="66.75" customHeight="1">
      <c r="B30" s="55"/>
      <c r="C30" s="95">
        <f>'Land Use'!D91</f>
        <v>0</v>
      </c>
      <c r="D30" s="38"/>
      <c r="E30" s="38"/>
      <c r="F30" s="38"/>
      <c r="G30" s="38"/>
      <c r="H30" s="38"/>
      <c r="J30" s="38"/>
      <c r="K30" s="38"/>
      <c r="L30" s="38"/>
      <c r="M30" s="38"/>
      <c r="N30" s="38"/>
      <c r="O30" s="187">
        <f>CTR!D83</f>
        <v>0</v>
      </c>
      <c r="P30" s="38"/>
      <c r="Q30" s="38"/>
    </row>
    <row r="31" spans="2:17" ht="12">
      <c r="B31" s="19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8"/>
      <c r="P31" s="33"/>
      <c r="Q31" s="33"/>
    </row>
    <row r="32" spans="2:17" ht="38.25">
      <c r="B32" s="19"/>
      <c r="C32" s="94" t="s">
        <v>82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99" t="s">
        <v>400</v>
      </c>
      <c r="P32" s="45"/>
      <c r="Q32" s="45"/>
    </row>
    <row r="33" spans="2:17" s="46" customFormat="1" ht="43.5" customHeight="1">
      <c r="B33" s="55"/>
      <c r="C33" s="95">
        <f>'Land Use'!D121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187">
        <f>CTR!D105</f>
        <v>0</v>
      </c>
      <c r="P33" s="38"/>
      <c r="Q33" s="38"/>
    </row>
    <row r="34" spans="2:17" ht="12">
      <c r="B34" s="19"/>
      <c r="C34" s="33"/>
      <c r="D34" s="33"/>
      <c r="E34" s="33"/>
      <c r="F34" s="33"/>
      <c r="G34" s="33"/>
      <c r="H34" s="33"/>
      <c r="I34" s="50"/>
      <c r="J34" s="33"/>
      <c r="K34" s="33"/>
      <c r="L34" s="33"/>
      <c r="M34" s="33"/>
      <c r="N34" s="33"/>
      <c r="O34" s="38"/>
      <c r="P34" s="33"/>
      <c r="Q34" s="33"/>
    </row>
    <row r="35" spans="2:17" ht="12.75">
      <c r="B35" s="19"/>
      <c r="C35" s="50"/>
      <c r="D35" s="33"/>
      <c r="E35" s="33"/>
      <c r="F35" s="33"/>
      <c r="G35" s="33"/>
      <c r="H35" s="33"/>
      <c r="I35" s="52"/>
      <c r="J35" s="33"/>
      <c r="K35" s="33"/>
      <c r="L35" s="33"/>
      <c r="M35" s="33"/>
      <c r="N35" s="33"/>
      <c r="O35" s="99" t="s">
        <v>401</v>
      </c>
      <c r="P35" s="33"/>
      <c r="Q35" s="33"/>
    </row>
    <row r="36" spans="2:17" s="46" customFormat="1" ht="42.75" customHeight="1">
      <c r="B36" s="55"/>
      <c r="C36" s="50"/>
      <c r="D36" s="38"/>
      <c r="E36" s="38"/>
      <c r="F36" s="38"/>
      <c r="G36" s="38"/>
      <c r="H36" s="38"/>
      <c r="I36" s="52"/>
      <c r="J36" s="38"/>
      <c r="K36" s="38"/>
      <c r="L36" s="38"/>
      <c r="M36" s="38"/>
      <c r="N36" s="38"/>
      <c r="O36" s="187">
        <f>CTR!D125</f>
        <v>0</v>
      </c>
      <c r="P36" s="38"/>
      <c r="Q36" s="38"/>
    </row>
    <row r="37" spans="2:17" ht="12">
      <c r="B37" s="19"/>
      <c r="C37" s="50"/>
      <c r="D37" s="33"/>
      <c r="E37" s="33"/>
      <c r="F37" s="33"/>
      <c r="G37" s="33"/>
      <c r="H37" s="33"/>
      <c r="I37" s="50"/>
      <c r="J37" s="33"/>
      <c r="K37" s="33"/>
      <c r="L37" s="33"/>
      <c r="M37" s="33"/>
      <c r="N37" s="33"/>
      <c r="O37" s="51"/>
      <c r="P37" s="33"/>
      <c r="Q37" s="33"/>
    </row>
    <row r="38" spans="2:17" ht="25.5">
      <c r="B38" s="19"/>
      <c r="C38" s="50"/>
      <c r="D38" s="33"/>
      <c r="E38" s="33"/>
      <c r="F38" s="33"/>
      <c r="G38" s="33"/>
      <c r="H38" s="33"/>
      <c r="I38" s="50"/>
      <c r="J38" s="33"/>
      <c r="K38" s="33"/>
      <c r="L38" s="33"/>
      <c r="M38" s="33"/>
      <c r="N38" s="33"/>
      <c r="O38" s="99" t="s">
        <v>402</v>
      </c>
      <c r="P38" s="33"/>
      <c r="Q38" s="33"/>
    </row>
    <row r="39" spans="2:17" ht="43.5" customHeight="1">
      <c r="B39" s="19"/>
      <c r="C39" s="50"/>
      <c r="D39" s="33"/>
      <c r="E39" s="33"/>
      <c r="F39" s="33"/>
      <c r="G39" s="33"/>
      <c r="H39" s="33"/>
      <c r="I39" s="50"/>
      <c r="J39" s="33"/>
      <c r="K39" s="33"/>
      <c r="L39" s="33"/>
      <c r="M39" s="33"/>
      <c r="N39" s="33"/>
      <c r="O39" s="187">
        <f>CTR!D139</f>
        <v>0</v>
      </c>
      <c r="P39" s="33"/>
      <c r="Q39" s="33"/>
    </row>
    <row r="40" spans="2:17" ht="12">
      <c r="B40" s="19"/>
      <c r="C40" s="50"/>
      <c r="D40" s="50"/>
      <c r="E40" s="50"/>
      <c r="F40" s="50"/>
      <c r="G40" s="50"/>
      <c r="H40" s="50"/>
      <c r="I40" s="54"/>
      <c r="J40" s="50"/>
      <c r="K40" s="50"/>
      <c r="L40" s="50"/>
      <c r="M40" s="50"/>
      <c r="N40" s="50"/>
      <c r="O40" s="51"/>
      <c r="P40" s="50"/>
      <c r="Q40" s="50"/>
    </row>
    <row r="41" spans="2:17" ht="12.75">
      <c r="B41" s="55"/>
      <c r="C41" s="50"/>
      <c r="D41" s="50"/>
      <c r="E41" s="50"/>
      <c r="F41" s="50"/>
      <c r="G41" s="50"/>
      <c r="H41" s="50"/>
      <c r="I41" s="54"/>
      <c r="J41" s="52"/>
      <c r="K41" s="50"/>
      <c r="L41" s="50"/>
      <c r="M41" s="50"/>
      <c r="N41" s="50"/>
      <c r="O41" s="99" t="s">
        <v>403</v>
      </c>
      <c r="P41" s="50"/>
      <c r="Q41" s="50"/>
    </row>
    <row r="42" spans="2:17" ht="43.5" customHeight="1">
      <c r="B42" s="55"/>
      <c r="C42" s="50"/>
      <c r="D42" s="50"/>
      <c r="E42" s="50"/>
      <c r="F42" s="50"/>
      <c r="G42" s="50"/>
      <c r="H42" s="50"/>
      <c r="I42" s="54"/>
      <c r="J42" s="52"/>
      <c r="K42" s="50"/>
      <c r="L42" s="50"/>
      <c r="M42" s="50"/>
      <c r="N42" s="50"/>
      <c r="O42" s="187">
        <f>CTR!D159</f>
        <v>0</v>
      </c>
      <c r="P42" s="50"/>
      <c r="Q42" s="50"/>
    </row>
    <row r="43" spans="2:17" ht="12">
      <c r="B43" s="19"/>
      <c r="C43" s="50"/>
      <c r="D43" s="50"/>
      <c r="E43" s="50"/>
      <c r="F43" s="50"/>
      <c r="G43" s="50"/>
      <c r="H43" s="50"/>
      <c r="I43" s="54"/>
      <c r="J43" s="50"/>
      <c r="K43" s="50"/>
      <c r="L43" s="50"/>
      <c r="M43" s="50"/>
      <c r="N43" s="50"/>
      <c r="O43" s="39"/>
      <c r="P43" s="50"/>
      <c r="Q43" s="50"/>
    </row>
    <row r="44" spans="2:17" ht="12.75">
      <c r="B44" s="19"/>
      <c r="C44" s="50"/>
      <c r="D44" s="50"/>
      <c r="E44" s="50"/>
      <c r="F44" s="50"/>
      <c r="G44" s="50"/>
      <c r="H44" s="50"/>
      <c r="I44" s="54"/>
      <c r="J44" s="50"/>
      <c r="K44" s="50"/>
      <c r="L44" s="50"/>
      <c r="M44" s="50"/>
      <c r="N44" s="50"/>
      <c r="O44" s="100" t="s">
        <v>404</v>
      </c>
      <c r="P44" s="50"/>
      <c r="Q44" s="50"/>
    </row>
    <row r="45" spans="2:17" ht="43.5" customHeight="1">
      <c r="B45" s="19"/>
      <c r="C45" s="54"/>
      <c r="D45" s="50"/>
      <c r="E45" s="50"/>
      <c r="F45" s="50"/>
      <c r="G45" s="50"/>
      <c r="H45" s="50"/>
      <c r="I45" s="54"/>
      <c r="J45" s="50"/>
      <c r="K45" s="50"/>
      <c r="L45" s="50"/>
      <c r="M45" s="50"/>
      <c r="N45" s="50"/>
      <c r="O45" s="218">
        <f>CTR!D178</f>
        <v>0</v>
      </c>
      <c r="P45" s="50"/>
      <c r="Q45" s="50"/>
    </row>
    <row r="46" spans="3:17" ht="12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39"/>
      <c r="P46" s="54"/>
      <c r="Q46" s="54"/>
    </row>
    <row r="47" spans="3:17" ht="12.75">
      <c r="C47" s="54"/>
      <c r="D47" s="54"/>
      <c r="E47" s="54"/>
      <c r="F47" s="54"/>
      <c r="G47" s="54"/>
      <c r="H47" s="54"/>
      <c r="I47" s="19"/>
      <c r="J47" s="54"/>
      <c r="K47" s="54"/>
      <c r="L47" s="54"/>
      <c r="M47" s="54"/>
      <c r="N47" s="54"/>
      <c r="O47" s="100" t="s">
        <v>405</v>
      </c>
      <c r="P47" s="54"/>
      <c r="Q47" s="54"/>
    </row>
    <row r="48" spans="3:17" ht="43.5" customHeight="1">
      <c r="C48" s="54"/>
      <c r="D48" s="19"/>
      <c r="E48" s="19"/>
      <c r="F48" s="54"/>
      <c r="G48" s="19"/>
      <c r="H48" s="19"/>
      <c r="I48" s="19"/>
      <c r="J48" s="19"/>
      <c r="K48" s="19"/>
      <c r="L48" s="19"/>
      <c r="M48" s="54"/>
      <c r="N48" s="54"/>
      <c r="O48" s="218">
        <f>CTR!D196</f>
        <v>0</v>
      </c>
      <c r="P48" s="54"/>
      <c r="Q48" s="54"/>
    </row>
    <row r="49" spans="3:17" ht="13.5" customHeight="1">
      <c r="C49" s="54"/>
      <c r="D49" s="19"/>
      <c r="E49" s="19"/>
      <c r="F49" s="54"/>
      <c r="G49" s="19"/>
      <c r="H49" s="19"/>
      <c r="I49" s="19"/>
      <c r="J49" s="19"/>
      <c r="K49" s="19"/>
      <c r="L49" s="19"/>
      <c r="M49" s="54"/>
      <c r="N49" s="54"/>
      <c r="O49" s="51"/>
      <c r="P49" s="54"/>
      <c r="Q49" s="54"/>
    </row>
    <row r="50" spans="3:17" ht="13.5" customHeight="1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54"/>
      <c r="N50" s="54"/>
      <c r="O50" s="33"/>
      <c r="P50" s="54"/>
      <c r="Q50" s="54"/>
    </row>
    <row r="51" spans="3:17" ht="12.75" customHeight="1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57"/>
      <c r="P51" s="19"/>
      <c r="Q51" s="19"/>
    </row>
    <row r="52" spans="3:17" ht="1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33"/>
      <c r="P52" s="19"/>
      <c r="Q52" s="19"/>
    </row>
    <row r="53" spans="3:17" ht="12.75" customHeight="1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59"/>
      <c r="P53" s="19"/>
      <c r="Q53" s="19"/>
    </row>
    <row r="54" spans="3:17" ht="1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33"/>
      <c r="P54" s="19"/>
      <c r="Q54" s="19"/>
    </row>
    <row r="55" spans="3:17" ht="1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60"/>
      <c r="P55" s="19"/>
      <c r="Q55" s="19"/>
    </row>
    <row r="56" spans="3:17" ht="1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61"/>
      <c r="P56" s="19"/>
      <c r="Q56" s="19"/>
    </row>
    <row r="57" spans="3:17" ht="1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P57" s="19"/>
      <c r="Q57" s="19"/>
    </row>
    <row r="58" spans="3:17" ht="1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62"/>
      <c r="P58" s="19"/>
      <c r="Q58" s="19"/>
    </row>
    <row r="59" spans="3:17" ht="1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P59" s="19"/>
      <c r="Q59" s="19"/>
    </row>
    <row r="60" spans="3:17" ht="1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P60" s="19"/>
      <c r="Q60" s="19"/>
    </row>
    <row r="61" spans="3:17" ht="1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P61" s="19"/>
      <c r="Q61" s="19"/>
    </row>
    <row r="62" spans="3:17" ht="12.75" customHeight="1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P62" s="19"/>
      <c r="Q62" s="19"/>
    </row>
    <row r="63" spans="3:17" ht="12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P63" s="19"/>
      <c r="Q63" s="19"/>
    </row>
    <row r="64" spans="3:17" ht="1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P64" s="19"/>
      <c r="Q64" s="19"/>
    </row>
    <row r="65" spans="3:17" ht="1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P65" s="19"/>
      <c r="Q65" s="19"/>
    </row>
    <row r="66" spans="3:17" ht="12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P66" s="19"/>
      <c r="Q66" s="19"/>
    </row>
    <row r="67" spans="3:17" ht="1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P67" s="19"/>
      <c r="Q67" s="19"/>
    </row>
    <row r="68" spans="3:17" ht="12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3:17" ht="1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3:17" ht="12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3:17" ht="12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3:17" ht="1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3:17" ht="12">
      <c r="C73" s="19"/>
      <c r="D73" s="19"/>
      <c r="E73" s="19"/>
      <c r="F73" s="19"/>
      <c r="G73" s="19"/>
      <c r="H73" s="19"/>
      <c r="J73" s="19"/>
      <c r="K73" s="19"/>
      <c r="L73" s="19"/>
      <c r="M73" s="19"/>
      <c r="N73" s="19"/>
      <c r="O73" s="19"/>
      <c r="P73" s="19"/>
      <c r="Q73" s="19"/>
    </row>
    <row r="74" spans="3:17" ht="12">
      <c r="C74" s="19"/>
      <c r="D74" s="19"/>
      <c r="E74" s="19"/>
      <c r="F74" s="19"/>
      <c r="G74" s="19"/>
      <c r="H74" s="19"/>
      <c r="J74" s="19"/>
      <c r="K74" s="19"/>
      <c r="L74" s="19"/>
      <c r="M74" s="19"/>
      <c r="N74" s="19"/>
      <c r="O74" s="19"/>
      <c r="P74" s="19"/>
      <c r="Q74" s="19"/>
    </row>
    <row r="75" spans="3:17" ht="12">
      <c r="C75" s="19"/>
      <c r="D75" s="19"/>
      <c r="E75" s="19"/>
      <c r="F75" s="19"/>
      <c r="G75" s="19"/>
      <c r="H75" s="19"/>
      <c r="J75" s="19"/>
      <c r="K75" s="19"/>
      <c r="L75" s="19"/>
      <c r="M75" s="19"/>
      <c r="N75" s="19"/>
      <c r="O75" s="19"/>
      <c r="P75" s="19"/>
      <c r="Q75" s="19"/>
    </row>
    <row r="76" spans="3:17" ht="12">
      <c r="C76" s="19"/>
      <c r="D76" s="19"/>
      <c r="E76" s="19"/>
      <c r="F76" s="19"/>
      <c r="G76" s="19"/>
      <c r="H76" s="19"/>
      <c r="J76" s="19"/>
      <c r="K76" s="19"/>
      <c r="L76" s="19"/>
      <c r="M76" s="19"/>
      <c r="N76" s="19"/>
      <c r="O76" s="19"/>
      <c r="P76" s="19"/>
      <c r="Q76" s="19"/>
    </row>
    <row r="77" spans="3:17" ht="12">
      <c r="C77" s="19"/>
      <c r="M77" s="19"/>
      <c r="N77" s="19"/>
      <c r="O77" s="19"/>
      <c r="P77" s="19"/>
      <c r="Q77" s="19"/>
    </row>
    <row r="78" spans="3:17" ht="12">
      <c r="C78" s="19"/>
      <c r="M78" s="19"/>
      <c r="N78" s="19"/>
      <c r="O78" s="19"/>
      <c r="P78" s="19"/>
      <c r="Q78" s="19"/>
    </row>
    <row r="79" spans="3:17" ht="12">
      <c r="C79" s="19"/>
      <c r="M79" s="19"/>
      <c r="N79" s="19"/>
      <c r="O79" s="19"/>
      <c r="P79" s="19"/>
      <c r="Q79" s="19"/>
    </row>
    <row r="80" spans="3:17" ht="12">
      <c r="C80" s="19"/>
      <c r="M80" s="19"/>
      <c r="N80" s="19"/>
      <c r="O80" s="19"/>
      <c r="P80" s="19"/>
      <c r="Q80" s="19"/>
    </row>
    <row r="81" spans="3:17" ht="12">
      <c r="C81" s="19"/>
      <c r="M81" s="19"/>
      <c r="N81" s="19"/>
      <c r="O81" s="19"/>
      <c r="P81" s="19"/>
      <c r="Q81" s="19"/>
    </row>
    <row r="82" spans="3:17" ht="12">
      <c r="C82" s="19"/>
      <c r="M82" s="19"/>
      <c r="N82" s="19"/>
      <c r="O82" s="19"/>
      <c r="P82" s="19"/>
      <c r="Q82" s="19"/>
    </row>
    <row r="83" spans="3:17" ht="12">
      <c r="C83" s="19"/>
      <c r="M83" s="19"/>
      <c r="N83" s="19"/>
      <c r="O83" s="19"/>
      <c r="P83" s="19"/>
      <c r="Q83" s="19"/>
    </row>
    <row r="84" spans="3:17" ht="12">
      <c r="C84" s="19"/>
      <c r="M84" s="19"/>
      <c r="N84" s="19"/>
      <c r="O84" s="19"/>
      <c r="P84" s="19"/>
      <c r="Q84" s="19"/>
    </row>
    <row r="85" spans="3:17" ht="12">
      <c r="C85" s="19"/>
      <c r="M85" s="19"/>
      <c r="N85" s="19"/>
      <c r="O85" s="19"/>
      <c r="P85" s="19"/>
      <c r="Q85" s="19"/>
    </row>
    <row r="86" spans="3:17" ht="12">
      <c r="C86" s="19"/>
      <c r="M86" s="19"/>
      <c r="N86" s="19"/>
      <c r="O86" s="19"/>
      <c r="P86" s="19"/>
      <c r="Q86" s="19"/>
    </row>
    <row r="87" spans="3:17" ht="12">
      <c r="C87" s="19"/>
      <c r="M87" s="19"/>
      <c r="N87" s="19"/>
      <c r="O87" s="19"/>
      <c r="P87" s="19"/>
      <c r="Q87" s="19"/>
    </row>
    <row r="88" spans="3:17" ht="12">
      <c r="C88" s="19"/>
      <c r="M88" s="19"/>
      <c r="N88" s="19"/>
      <c r="O88" s="19"/>
      <c r="P88" s="19"/>
      <c r="Q88" s="19"/>
    </row>
    <row r="89" spans="3:17" ht="12">
      <c r="C89" s="19"/>
      <c r="M89" s="19"/>
      <c r="N89" s="19"/>
      <c r="O89" s="19"/>
      <c r="P89" s="19"/>
      <c r="Q89" s="19"/>
    </row>
    <row r="90" spans="13:17" ht="12">
      <c r="M90" s="19"/>
      <c r="N90" s="19"/>
      <c r="O90" s="19"/>
      <c r="P90" s="19"/>
      <c r="Q90" s="19"/>
    </row>
    <row r="91" ht="12">
      <c r="O91" s="19"/>
    </row>
    <row r="92" ht="12">
      <c r="O92" s="19"/>
    </row>
    <row r="93" ht="12">
      <c r="O93" s="19"/>
    </row>
    <row r="94" ht="12">
      <c r="O94" s="19"/>
    </row>
    <row r="95" ht="12">
      <c r="O95" s="19"/>
    </row>
  </sheetData>
  <sheetProtection password="85AF" sheet="1" objects="1" scenarios="1"/>
  <mergeCells count="7">
    <mergeCell ref="C2:O2"/>
    <mergeCell ref="C7:L7"/>
    <mergeCell ref="C10:L10"/>
    <mergeCell ref="C5:O5"/>
    <mergeCell ref="C3:O3"/>
    <mergeCell ref="C9:L9"/>
    <mergeCell ref="C8:L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R75"/>
  <sheetViews>
    <sheetView zoomScale="70" zoomScaleNormal="70" zoomScalePageLayoutView="0" workbookViewId="0" topLeftCell="A1">
      <selection activeCell="C8" sqref="C8"/>
    </sheetView>
  </sheetViews>
  <sheetFormatPr defaultColWidth="9.140625" defaultRowHeight="15"/>
  <cols>
    <col min="1" max="1" width="1.7109375" style="14" customWidth="1"/>
    <col min="2" max="2" width="3.00390625" style="14" customWidth="1"/>
    <col min="3" max="3" width="21.8515625" style="14" customWidth="1"/>
    <col min="4" max="4" width="2.57421875" style="14" customWidth="1"/>
    <col min="5" max="5" width="2.421875" style="14" customWidth="1"/>
    <col min="6" max="6" width="25.00390625" style="14" customWidth="1"/>
    <col min="7" max="7" width="2.00390625" style="14" customWidth="1"/>
    <col min="8" max="8" width="2.140625" style="14" customWidth="1"/>
    <col min="9" max="9" width="22.28125" style="14" customWidth="1"/>
    <col min="10" max="10" width="2.28125" style="14" customWidth="1"/>
    <col min="11" max="11" width="2.140625" style="14" customWidth="1"/>
    <col min="12" max="12" width="26.421875" style="14" customWidth="1"/>
    <col min="13" max="14" width="2.140625" style="14" customWidth="1"/>
    <col min="15" max="15" width="29.00390625" style="14" customWidth="1"/>
    <col min="16" max="16" width="2.00390625" style="14" customWidth="1"/>
    <col min="17" max="17" width="2.28125" style="14" customWidth="1"/>
    <col min="18" max="16384" width="9.140625" style="14" customWidth="1"/>
  </cols>
  <sheetData>
    <row r="1" spans="3:17" ht="15">
      <c r="C1" s="15"/>
      <c r="D1" s="15"/>
      <c r="E1" s="15"/>
      <c r="F1" s="15"/>
      <c r="G1" s="15"/>
      <c r="H1" s="15"/>
      <c r="I1" s="15"/>
      <c r="J1" s="16"/>
      <c r="K1" s="16"/>
      <c r="L1" s="16"/>
      <c r="M1" s="16"/>
      <c r="N1" s="16"/>
      <c r="O1" s="17"/>
      <c r="P1" s="16"/>
      <c r="Q1" s="16"/>
    </row>
    <row r="2" spans="3:17" ht="40.5" customHeight="1">
      <c r="C2" s="411" t="s">
        <v>23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16"/>
      <c r="Q2" s="16"/>
    </row>
    <row r="3" spans="3:17" ht="15"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  <c r="N3" s="16"/>
      <c r="O3" s="17"/>
      <c r="P3" s="16"/>
      <c r="Q3" s="16"/>
    </row>
    <row r="4" spans="3:18" ht="62.25" customHeight="1">
      <c r="C4" s="411" t="s">
        <v>24</v>
      </c>
      <c r="D4" s="411"/>
      <c r="E4" s="411"/>
      <c r="F4" s="411"/>
      <c r="G4" s="411"/>
      <c r="H4" s="411"/>
      <c r="I4" s="411"/>
      <c r="J4" s="411"/>
      <c r="K4" s="411"/>
      <c r="L4" s="411"/>
      <c r="M4" s="15"/>
      <c r="N4" s="15"/>
      <c r="O4" s="18" t="s">
        <v>25</v>
      </c>
      <c r="P4" s="19"/>
      <c r="Q4" s="19"/>
      <c r="R4" s="20"/>
    </row>
    <row r="5" spans="3:17" ht="12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3:17" ht="12">
      <c r="C6" s="15"/>
      <c r="D6" s="15"/>
      <c r="E6" s="15"/>
      <c r="F6" s="15"/>
      <c r="G6" s="15"/>
      <c r="H6" s="15"/>
      <c r="I6" s="15"/>
      <c r="J6" s="15"/>
      <c r="K6" s="15"/>
      <c r="L6" s="21"/>
      <c r="M6" s="15"/>
      <c r="N6" s="15"/>
      <c r="O6" s="21"/>
      <c r="P6" s="15"/>
      <c r="Q6" s="15"/>
    </row>
    <row r="7" spans="3:17" ht="59.25" customHeight="1">
      <c r="C7" s="22" t="s">
        <v>26</v>
      </c>
      <c r="D7" s="23"/>
      <c r="E7" s="24"/>
      <c r="F7" s="25" t="s">
        <v>27</v>
      </c>
      <c r="G7" s="26"/>
      <c r="H7" s="27"/>
      <c r="I7" s="28" t="s">
        <v>28</v>
      </c>
      <c r="J7" s="26"/>
      <c r="K7" s="27"/>
      <c r="L7" s="29" t="s">
        <v>1</v>
      </c>
      <c r="M7" s="27"/>
      <c r="N7" s="27"/>
      <c r="O7" s="30" t="s">
        <v>29</v>
      </c>
      <c r="P7" s="26"/>
      <c r="Q7" s="27"/>
    </row>
    <row r="8" spans="2:17" ht="84" customHeight="1">
      <c r="B8" s="19"/>
      <c r="C8" s="31" t="s">
        <v>30</v>
      </c>
      <c r="D8" s="32"/>
      <c r="E8" s="33"/>
      <c r="F8" s="34" t="s">
        <v>31</v>
      </c>
      <c r="G8" s="33"/>
      <c r="H8" s="33"/>
      <c r="I8" s="35" t="s">
        <v>32</v>
      </c>
      <c r="J8" s="33"/>
      <c r="K8" s="33"/>
      <c r="L8" s="36" t="s">
        <v>33</v>
      </c>
      <c r="M8" s="33"/>
      <c r="N8" s="33"/>
      <c r="O8" s="37" t="s">
        <v>34</v>
      </c>
      <c r="P8" s="33"/>
      <c r="Q8" s="33"/>
    </row>
    <row r="9" spans="2:17" ht="10.5" customHeight="1">
      <c r="B9" s="19"/>
      <c r="C9" s="33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8"/>
      <c r="P9" s="33"/>
      <c r="Q9" s="33"/>
    </row>
    <row r="10" spans="2:17" ht="51.75" customHeight="1">
      <c r="B10" s="19"/>
      <c r="C10" s="40" t="s">
        <v>35</v>
      </c>
      <c r="D10" s="32"/>
      <c r="E10" s="33"/>
      <c r="F10" s="41" t="s">
        <v>36</v>
      </c>
      <c r="G10" s="32"/>
      <c r="H10" s="33"/>
      <c r="I10" s="42" t="s">
        <v>37</v>
      </c>
      <c r="J10" s="33"/>
      <c r="K10" s="33"/>
      <c r="L10" s="43" t="s">
        <v>430</v>
      </c>
      <c r="M10" s="33"/>
      <c r="N10" s="33"/>
      <c r="O10" s="44" t="s">
        <v>38</v>
      </c>
      <c r="P10" s="45"/>
      <c r="Q10" s="45"/>
    </row>
    <row r="11" spans="2:17" ht="12.75">
      <c r="B11" s="19"/>
      <c r="C11" s="33"/>
      <c r="D11" s="32"/>
      <c r="E11" s="33"/>
      <c r="F11" s="33"/>
      <c r="G11" s="32"/>
      <c r="H11" s="33"/>
      <c r="I11" s="45"/>
      <c r="J11" s="33"/>
      <c r="K11" s="33"/>
      <c r="L11" s="33"/>
      <c r="M11" s="33"/>
      <c r="N11" s="33"/>
      <c r="O11" s="46"/>
      <c r="P11" s="33"/>
      <c r="Q11" s="33"/>
    </row>
    <row r="12" spans="2:17" ht="54" customHeight="1">
      <c r="B12" s="19"/>
      <c r="C12" s="40" t="s">
        <v>39</v>
      </c>
      <c r="D12" s="32"/>
      <c r="E12" s="33"/>
      <c r="F12" s="41" t="s">
        <v>40</v>
      </c>
      <c r="G12" s="32"/>
      <c r="H12" s="33"/>
      <c r="I12" s="42" t="s">
        <v>41</v>
      </c>
      <c r="J12" s="33"/>
      <c r="K12" s="33"/>
      <c r="L12" s="43" t="s">
        <v>431</v>
      </c>
      <c r="M12" s="33"/>
      <c r="N12" s="33"/>
      <c r="O12" s="44" t="s">
        <v>42</v>
      </c>
      <c r="P12" s="45"/>
      <c r="Q12" s="45"/>
    </row>
    <row r="13" spans="2:17" ht="12.75">
      <c r="B13" s="19"/>
      <c r="C13" s="33"/>
      <c r="D13" s="33"/>
      <c r="E13" s="33"/>
      <c r="F13" s="33"/>
      <c r="G13" s="33"/>
      <c r="H13" s="33"/>
      <c r="I13" s="45"/>
      <c r="J13" s="33"/>
      <c r="K13" s="33"/>
      <c r="L13" s="33"/>
      <c r="M13" s="33"/>
      <c r="N13" s="33"/>
      <c r="O13" s="38"/>
      <c r="P13" s="33"/>
      <c r="Q13" s="33"/>
    </row>
    <row r="14" spans="2:17" ht="51" customHeight="1">
      <c r="B14" s="19"/>
      <c r="C14" s="40" t="s">
        <v>43</v>
      </c>
      <c r="D14" s="33"/>
      <c r="E14" s="33"/>
      <c r="F14" s="41" t="s">
        <v>383</v>
      </c>
      <c r="G14" s="33"/>
      <c r="H14" s="33"/>
      <c r="I14" s="42" t="s">
        <v>44</v>
      </c>
      <c r="J14" s="33"/>
      <c r="K14" s="33"/>
      <c r="L14" s="43" t="s">
        <v>432</v>
      </c>
      <c r="M14" s="33"/>
      <c r="N14" s="33"/>
      <c r="O14" s="44" t="s">
        <v>45</v>
      </c>
      <c r="P14" s="45"/>
      <c r="Q14" s="45"/>
    </row>
    <row r="15" spans="2:17" ht="12.75">
      <c r="B15" s="19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45"/>
      <c r="P15" s="33"/>
      <c r="Q15" s="33"/>
    </row>
    <row r="16" spans="2:17" ht="55.5" customHeight="1">
      <c r="B16" s="19"/>
      <c r="C16" s="40" t="s">
        <v>46</v>
      </c>
      <c r="D16" s="33"/>
      <c r="E16" s="33"/>
      <c r="F16" s="41" t="s">
        <v>384</v>
      </c>
      <c r="G16" s="33"/>
      <c r="H16" s="33"/>
      <c r="I16" s="47" t="s">
        <v>47</v>
      </c>
      <c r="J16" s="33"/>
      <c r="K16" s="33"/>
      <c r="L16" s="48" t="s">
        <v>48</v>
      </c>
      <c r="M16" s="33"/>
      <c r="N16" s="33"/>
      <c r="O16" s="44" t="s">
        <v>49</v>
      </c>
      <c r="P16" s="45"/>
      <c r="Q16" s="45"/>
    </row>
    <row r="17" spans="2:17" ht="12">
      <c r="B17" s="19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8"/>
      <c r="P17" s="33"/>
      <c r="Q17" s="33"/>
    </row>
    <row r="18" spans="2:17" ht="66.75" customHeight="1">
      <c r="B18" s="19"/>
      <c r="C18" s="40" t="s">
        <v>50</v>
      </c>
      <c r="D18" s="33"/>
      <c r="E18" s="33"/>
      <c r="F18" s="49" t="s">
        <v>51</v>
      </c>
      <c r="G18" s="33"/>
      <c r="H18" s="33"/>
      <c r="J18" s="33"/>
      <c r="K18" s="33"/>
      <c r="L18" s="48" t="s">
        <v>52</v>
      </c>
      <c r="M18" s="33"/>
      <c r="N18" s="33"/>
      <c r="O18" s="44" t="s">
        <v>53</v>
      </c>
      <c r="P18" s="45"/>
      <c r="Q18" s="45"/>
    </row>
    <row r="19" spans="2:17" ht="12">
      <c r="B19" s="1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8"/>
      <c r="P19" s="33"/>
      <c r="Q19" s="33"/>
    </row>
    <row r="20" spans="2:17" ht="42.75" customHeight="1">
      <c r="B20" s="19"/>
      <c r="C20" s="40" t="s">
        <v>428</v>
      </c>
      <c r="D20" s="33"/>
      <c r="E20" s="33"/>
      <c r="F20" s="49" t="s">
        <v>54</v>
      </c>
      <c r="G20" s="33"/>
      <c r="H20" s="33"/>
      <c r="I20" s="33"/>
      <c r="J20" s="33"/>
      <c r="K20" s="33"/>
      <c r="L20" s="48" t="s">
        <v>55</v>
      </c>
      <c r="M20" s="33"/>
      <c r="N20" s="33"/>
      <c r="O20" s="44" t="s">
        <v>56</v>
      </c>
      <c r="P20" s="45"/>
      <c r="Q20" s="45"/>
    </row>
    <row r="21" spans="2:17" ht="12">
      <c r="B21" s="19"/>
      <c r="C21" s="33"/>
      <c r="D21" s="33"/>
      <c r="E21" s="33"/>
      <c r="F21" s="33"/>
      <c r="G21" s="33"/>
      <c r="H21" s="33"/>
      <c r="I21" s="50"/>
      <c r="J21" s="33"/>
      <c r="K21" s="33"/>
      <c r="L21" s="33"/>
      <c r="M21" s="33"/>
      <c r="N21" s="33"/>
      <c r="O21" s="51"/>
      <c r="P21" s="33"/>
      <c r="Q21" s="33"/>
    </row>
    <row r="22" spans="2:17" ht="42.75" customHeight="1">
      <c r="B22" s="19"/>
      <c r="C22" s="40" t="s">
        <v>57</v>
      </c>
      <c r="D22" s="33"/>
      <c r="E22" s="33"/>
      <c r="F22" s="33"/>
      <c r="G22" s="33"/>
      <c r="H22" s="33"/>
      <c r="I22" s="52"/>
      <c r="J22" s="33"/>
      <c r="K22" s="33"/>
      <c r="L22" s="48" t="s">
        <v>58</v>
      </c>
      <c r="M22" s="33"/>
      <c r="N22" s="33"/>
      <c r="O22" s="44" t="s">
        <v>385</v>
      </c>
      <c r="P22" s="33"/>
      <c r="Q22" s="33"/>
    </row>
    <row r="23" spans="2:17" ht="12">
      <c r="B23" s="19"/>
      <c r="C23" s="33"/>
      <c r="D23" s="33"/>
      <c r="E23" s="33"/>
      <c r="F23" s="33"/>
      <c r="G23" s="33"/>
      <c r="H23" s="33"/>
      <c r="I23" s="50"/>
      <c r="J23" s="33"/>
      <c r="K23" s="33"/>
      <c r="L23" s="33"/>
      <c r="M23" s="33"/>
      <c r="N23" s="33"/>
      <c r="O23" s="51"/>
      <c r="P23" s="33"/>
      <c r="Q23" s="33"/>
    </row>
    <row r="24" spans="2:17" ht="42.75" customHeight="1">
      <c r="B24" s="19"/>
      <c r="C24" s="53" t="s">
        <v>59</v>
      </c>
      <c r="D24" s="33"/>
      <c r="E24" s="33"/>
      <c r="F24" s="33"/>
      <c r="G24" s="33"/>
      <c r="H24" s="33"/>
      <c r="I24" s="50"/>
      <c r="J24" s="33"/>
      <c r="K24" s="33"/>
      <c r="L24" s="33"/>
      <c r="M24" s="33"/>
      <c r="N24" s="33"/>
      <c r="O24" s="44" t="s">
        <v>60</v>
      </c>
      <c r="P24" s="33"/>
      <c r="Q24" s="33"/>
    </row>
    <row r="25" spans="2:17" ht="12">
      <c r="B25" s="19"/>
      <c r="C25" s="50"/>
      <c r="D25" s="50"/>
      <c r="E25" s="50"/>
      <c r="F25" s="50"/>
      <c r="G25" s="50"/>
      <c r="H25" s="50"/>
      <c r="I25" s="54"/>
      <c r="J25" s="50"/>
      <c r="K25" s="50"/>
      <c r="L25" s="50"/>
      <c r="M25" s="50"/>
      <c r="N25" s="50"/>
      <c r="O25" s="39"/>
      <c r="P25" s="50"/>
      <c r="Q25" s="50"/>
    </row>
    <row r="26" spans="2:17" ht="42.75" customHeight="1">
      <c r="B26" s="55"/>
      <c r="C26" s="53" t="s">
        <v>61</v>
      </c>
      <c r="D26" s="50"/>
      <c r="E26" s="50"/>
      <c r="F26" s="50"/>
      <c r="G26" s="50"/>
      <c r="H26" s="50"/>
      <c r="I26" s="54"/>
      <c r="J26" s="52"/>
      <c r="K26" s="50"/>
      <c r="L26" s="50"/>
      <c r="M26" s="50"/>
      <c r="N26" s="50"/>
      <c r="O26" s="56" t="s">
        <v>62</v>
      </c>
      <c r="P26" s="50"/>
      <c r="Q26" s="50"/>
    </row>
    <row r="27" spans="2:17" ht="12">
      <c r="B27" s="19"/>
      <c r="C27" s="50"/>
      <c r="D27" s="50"/>
      <c r="E27" s="50"/>
      <c r="F27" s="50"/>
      <c r="G27" s="50"/>
      <c r="H27" s="50"/>
      <c r="I27" s="54"/>
      <c r="J27" s="50"/>
      <c r="K27" s="50"/>
      <c r="L27" s="50"/>
      <c r="M27" s="50"/>
      <c r="N27" s="50"/>
      <c r="O27" s="39"/>
      <c r="P27" s="50"/>
      <c r="Q27" s="50"/>
    </row>
    <row r="28" spans="2:17" ht="42.75" customHeight="1">
      <c r="B28" s="19"/>
      <c r="C28" s="50"/>
      <c r="D28" s="50"/>
      <c r="E28" s="50"/>
      <c r="F28" s="50"/>
      <c r="G28" s="50"/>
      <c r="H28" s="50"/>
      <c r="I28" s="54"/>
      <c r="J28" s="50"/>
      <c r="K28" s="50"/>
      <c r="L28" s="50"/>
      <c r="M28" s="50"/>
      <c r="N28" s="50"/>
      <c r="O28" s="56" t="s">
        <v>63</v>
      </c>
      <c r="P28" s="50"/>
      <c r="Q28" s="50"/>
    </row>
    <row r="29" spans="3:17" ht="12">
      <c r="C29" s="5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1"/>
      <c r="P29" s="54"/>
      <c r="Q29" s="54"/>
    </row>
    <row r="30" spans="3:17" ht="30.75" customHeight="1">
      <c r="C30" s="50"/>
      <c r="D30" s="54"/>
      <c r="E30" s="54"/>
      <c r="F30" s="54"/>
      <c r="G30" s="54"/>
      <c r="H30" s="54"/>
      <c r="I30" s="19"/>
      <c r="J30" s="54"/>
      <c r="K30" s="54"/>
      <c r="L30" s="54"/>
      <c r="M30" s="54"/>
      <c r="N30" s="54"/>
      <c r="O30" s="56" t="s">
        <v>64</v>
      </c>
      <c r="P30" s="54"/>
      <c r="Q30" s="54"/>
    </row>
    <row r="31" spans="3:17" ht="13.5" customHeight="1">
      <c r="C31" s="54"/>
      <c r="D31" s="19"/>
      <c r="E31" s="19"/>
      <c r="F31" s="54"/>
      <c r="G31" s="19"/>
      <c r="H31" s="19"/>
      <c r="I31" s="19"/>
      <c r="J31" s="19"/>
      <c r="K31" s="19"/>
      <c r="L31" s="19"/>
      <c r="M31" s="54"/>
      <c r="N31" s="54"/>
      <c r="O31" s="57"/>
      <c r="P31" s="54"/>
      <c r="Q31" s="54"/>
    </row>
    <row r="32" spans="3:17" ht="13.5" customHeight="1">
      <c r="C32" s="54"/>
      <c r="D32" s="19"/>
      <c r="E32" s="19"/>
      <c r="F32" s="54"/>
      <c r="G32" s="19"/>
      <c r="H32" s="19"/>
      <c r="I32" s="19"/>
      <c r="J32" s="19"/>
      <c r="K32" s="19"/>
      <c r="L32" s="19"/>
      <c r="M32" s="54"/>
      <c r="N32" s="54"/>
      <c r="O32" s="58" t="s">
        <v>65</v>
      </c>
      <c r="P32" s="54"/>
      <c r="Q32" s="54"/>
    </row>
    <row r="33" spans="3:17" ht="13.5" customHeight="1">
      <c r="C33" s="54"/>
      <c r="D33" s="19"/>
      <c r="E33" s="19"/>
      <c r="F33" s="19"/>
      <c r="G33" s="19"/>
      <c r="H33" s="19"/>
      <c r="I33" s="19"/>
      <c r="J33" s="19"/>
      <c r="K33" s="19"/>
      <c r="L33" s="19"/>
      <c r="M33" s="54"/>
      <c r="N33" s="54"/>
      <c r="O33" s="59"/>
      <c r="P33" s="54"/>
      <c r="Q33" s="54"/>
    </row>
    <row r="34" spans="3:17" ht="12.75" customHeight="1">
      <c r="C34" s="54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8" t="s">
        <v>66</v>
      </c>
      <c r="P34" s="19"/>
      <c r="Q34" s="19"/>
    </row>
    <row r="35" spans="3:17" ht="12">
      <c r="C35" s="5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60"/>
      <c r="P35" s="19"/>
      <c r="Q35" s="19"/>
    </row>
    <row r="36" spans="3:17" ht="12.75" customHeight="1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61"/>
      <c r="P36" s="19"/>
      <c r="Q36" s="19"/>
    </row>
    <row r="37" spans="3:17" ht="12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P37" s="19"/>
      <c r="Q37" s="19"/>
    </row>
    <row r="38" spans="3:17" ht="12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62"/>
      <c r="P38" s="19"/>
      <c r="Q38" s="19"/>
    </row>
    <row r="39" spans="3:17" ht="1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P39" s="19"/>
      <c r="Q39" s="19"/>
    </row>
    <row r="40" spans="3:17" ht="1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19"/>
      <c r="Q40" s="19"/>
    </row>
    <row r="41" spans="3:17" ht="12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19"/>
      <c r="Q41" s="19"/>
    </row>
    <row r="42" spans="3:17" ht="12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P42" s="19"/>
      <c r="Q42" s="19"/>
    </row>
    <row r="43" spans="3:17" ht="12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P43" s="19"/>
      <c r="Q43" s="19"/>
    </row>
    <row r="44" spans="3:17" ht="12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P44" s="19"/>
      <c r="Q44" s="19"/>
    </row>
    <row r="45" spans="3:17" ht="12.75" customHeight="1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P45" s="19"/>
      <c r="Q45" s="19"/>
    </row>
    <row r="46" spans="3:17" ht="12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P46" s="19"/>
      <c r="Q46" s="19"/>
    </row>
    <row r="47" spans="3:17" ht="12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P47" s="19"/>
      <c r="Q47" s="19"/>
    </row>
    <row r="48" spans="3:17" ht="12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3:17" ht="12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3:17" ht="1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ht="1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ht="1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ht="1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ht="1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ht="1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ht="12">
      <c r="C56" s="19"/>
      <c r="D56" s="19"/>
      <c r="E56" s="19"/>
      <c r="F56" s="19"/>
      <c r="G56" s="19"/>
      <c r="H56" s="19"/>
      <c r="J56" s="19"/>
      <c r="K56" s="19"/>
      <c r="L56" s="19"/>
      <c r="M56" s="19"/>
      <c r="N56" s="19"/>
      <c r="O56" s="19"/>
      <c r="P56" s="19"/>
      <c r="Q56" s="19"/>
    </row>
    <row r="57" spans="3:17" ht="12">
      <c r="C57" s="19"/>
      <c r="D57" s="19"/>
      <c r="E57" s="19"/>
      <c r="F57" s="19"/>
      <c r="G57" s="19"/>
      <c r="H57" s="19"/>
      <c r="J57" s="19"/>
      <c r="K57" s="19"/>
      <c r="L57" s="19"/>
      <c r="M57" s="19"/>
      <c r="N57" s="19"/>
      <c r="O57" s="19"/>
      <c r="P57" s="19"/>
      <c r="Q57" s="19"/>
    </row>
    <row r="58" spans="3:17" ht="12">
      <c r="C58" s="19"/>
      <c r="D58" s="19"/>
      <c r="E58" s="19"/>
      <c r="F58" s="19"/>
      <c r="G58" s="19"/>
      <c r="H58" s="19"/>
      <c r="J58" s="19"/>
      <c r="K58" s="19"/>
      <c r="L58" s="19"/>
      <c r="M58" s="19"/>
      <c r="N58" s="19"/>
      <c r="O58" s="19"/>
      <c r="P58" s="19"/>
      <c r="Q58" s="19"/>
    </row>
    <row r="59" spans="3:17" ht="12">
      <c r="C59" s="19"/>
      <c r="D59" s="19"/>
      <c r="E59" s="19"/>
      <c r="F59" s="19"/>
      <c r="G59" s="19"/>
      <c r="H59" s="19"/>
      <c r="J59" s="19"/>
      <c r="K59" s="19"/>
      <c r="L59" s="19"/>
      <c r="M59" s="19"/>
      <c r="N59" s="19"/>
      <c r="O59" s="19"/>
      <c r="P59" s="19"/>
      <c r="Q59" s="19"/>
    </row>
    <row r="60" spans="3:17" ht="12">
      <c r="C60" s="19"/>
      <c r="M60" s="19"/>
      <c r="N60" s="19"/>
      <c r="O60" s="19"/>
      <c r="P60" s="19"/>
      <c r="Q60" s="19"/>
    </row>
    <row r="61" spans="3:17" ht="12">
      <c r="C61" s="19"/>
      <c r="M61" s="19"/>
      <c r="N61" s="19"/>
      <c r="O61" s="19"/>
      <c r="P61" s="19"/>
      <c r="Q61" s="19"/>
    </row>
    <row r="62" spans="3:17" ht="12">
      <c r="C62" s="19"/>
      <c r="M62" s="19"/>
      <c r="N62" s="19"/>
      <c r="O62" s="19"/>
      <c r="P62" s="19"/>
      <c r="Q62" s="19"/>
    </row>
    <row r="63" spans="3:17" ht="12">
      <c r="C63" s="19"/>
      <c r="M63" s="19"/>
      <c r="N63" s="19"/>
      <c r="O63" s="19"/>
      <c r="P63" s="19"/>
      <c r="Q63" s="19"/>
    </row>
    <row r="64" spans="3:17" ht="12">
      <c r="C64" s="19"/>
      <c r="M64" s="19"/>
      <c r="N64" s="19"/>
      <c r="O64" s="19"/>
      <c r="P64" s="19"/>
      <c r="Q64" s="19"/>
    </row>
    <row r="65" spans="3:17" ht="12">
      <c r="C65" s="19"/>
      <c r="M65" s="19"/>
      <c r="N65" s="19"/>
      <c r="O65" s="19"/>
      <c r="P65" s="19"/>
      <c r="Q65" s="19"/>
    </row>
    <row r="66" spans="3:17" ht="12">
      <c r="C66" s="19"/>
      <c r="M66" s="19"/>
      <c r="N66" s="19"/>
      <c r="O66" s="19"/>
      <c r="P66" s="19"/>
      <c r="Q66" s="19"/>
    </row>
    <row r="67" spans="3:17" ht="12">
      <c r="C67" s="19"/>
      <c r="M67" s="19"/>
      <c r="N67" s="19"/>
      <c r="O67" s="19"/>
      <c r="P67" s="19"/>
      <c r="Q67" s="19"/>
    </row>
    <row r="68" spans="3:17" ht="12">
      <c r="C68" s="19"/>
      <c r="M68" s="19"/>
      <c r="N68" s="19"/>
      <c r="O68" s="19"/>
      <c r="P68" s="19"/>
      <c r="Q68" s="19"/>
    </row>
    <row r="69" spans="3:17" ht="12">
      <c r="C69" s="19"/>
      <c r="M69" s="19"/>
      <c r="N69" s="19"/>
      <c r="O69" s="19"/>
      <c r="P69" s="19"/>
      <c r="Q69" s="19"/>
    </row>
    <row r="70" spans="3:17" ht="12">
      <c r="C70" s="19"/>
      <c r="M70" s="19"/>
      <c r="N70" s="19"/>
      <c r="O70" s="19"/>
      <c r="P70" s="19"/>
      <c r="Q70" s="19"/>
    </row>
    <row r="71" spans="3:17" ht="12">
      <c r="C71" s="19"/>
      <c r="M71" s="19"/>
      <c r="N71" s="19"/>
      <c r="O71" s="19"/>
      <c r="P71" s="19"/>
      <c r="Q71" s="19"/>
    </row>
    <row r="72" spans="3:17" ht="12">
      <c r="C72" s="19"/>
      <c r="M72" s="19"/>
      <c r="N72" s="19"/>
      <c r="O72" s="19"/>
      <c r="P72" s="19"/>
      <c r="Q72" s="19"/>
    </row>
    <row r="73" spans="3:17" ht="12">
      <c r="C73" s="19"/>
      <c r="M73" s="19"/>
      <c r="N73" s="19"/>
      <c r="O73" s="19"/>
      <c r="P73" s="19"/>
      <c r="Q73" s="19"/>
    </row>
    <row r="74" spans="3:15" ht="12">
      <c r="C74" s="19"/>
      <c r="O74" s="19"/>
    </row>
    <row r="75" spans="3:15" ht="12">
      <c r="C75" s="19"/>
      <c r="O75" s="19"/>
    </row>
  </sheetData>
  <sheetProtection password="85AF" sheet="1" objects="1" scenarios="1"/>
  <mergeCells count="2">
    <mergeCell ref="C2:O2"/>
    <mergeCell ref="C4:L4"/>
  </mergeCells>
  <printOptions horizontalCentered="1" verticalCentered="1"/>
  <pageMargins left="0.75" right="0.75" top="0.25" bottom="0.25" header="0.5" footer="0.5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M167"/>
  <sheetViews>
    <sheetView zoomScale="80" zoomScaleNormal="80" zoomScalePageLayoutView="0" workbookViewId="0" topLeftCell="A1">
      <selection activeCell="E132" sqref="E132"/>
    </sheetView>
  </sheetViews>
  <sheetFormatPr defaultColWidth="9.140625" defaultRowHeight="15" outlineLevelRow="2"/>
  <cols>
    <col min="2" max="2" width="9.00390625" style="0" customWidth="1"/>
    <col min="3" max="3" width="11.28125" style="0" bestFit="1" customWidth="1"/>
    <col min="4" max="4" width="12.00390625" style="0" bestFit="1" customWidth="1"/>
    <col min="7" max="7" width="12.00390625" style="0" bestFit="1" customWidth="1"/>
    <col min="8" max="8" width="10.28125" style="0" customWidth="1"/>
    <col min="9" max="9" width="13.421875" style="0" customWidth="1"/>
  </cols>
  <sheetData>
    <row r="1" spans="2:3" ht="14.25">
      <c r="B1" s="75"/>
      <c r="C1" s="76" t="s">
        <v>117</v>
      </c>
    </row>
    <row r="2" spans="2:3" ht="14.25">
      <c r="B2" s="78"/>
      <c r="C2" s="76" t="s">
        <v>118</v>
      </c>
    </row>
    <row r="3" ht="15" thickBot="1"/>
    <row r="4" spans="2:11" ht="24" thickBot="1">
      <c r="B4" s="379" t="s">
        <v>91</v>
      </c>
      <c r="C4" s="380"/>
      <c r="D4" s="380"/>
      <c r="E4" s="380"/>
      <c r="F4" s="380"/>
      <c r="G4" s="380"/>
      <c r="H4" s="380"/>
      <c r="I4" s="380"/>
      <c r="J4" s="380"/>
      <c r="K4" s="381"/>
    </row>
    <row r="5" ht="15" thickBot="1"/>
    <row r="6" spans="2:11" ht="14.25" hidden="1" outlineLevel="1">
      <c r="B6" s="1"/>
      <c r="C6" s="2"/>
      <c r="D6" s="2"/>
      <c r="E6" s="2"/>
      <c r="F6" s="2"/>
      <c r="G6" s="2"/>
      <c r="H6" s="2"/>
      <c r="I6" s="2"/>
      <c r="J6" s="2"/>
      <c r="K6" s="3"/>
    </row>
    <row r="7" spans="2:13" ht="32.25" customHeight="1" hidden="1" outlineLevel="1">
      <c r="B7" s="4"/>
      <c r="C7" s="115">
        <f>MIN(VLOOKUP(INPUT!$C$7,'Maximum Calcs'!D12:E16,2,FALSE),C8)</f>
        <v>0</v>
      </c>
      <c r="D7" s="361" t="s">
        <v>94</v>
      </c>
      <c r="E7" s="362"/>
      <c r="F7" s="5"/>
      <c r="G7" s="5"/>
      <c r="H7" s="244">
        <f>C7*INPUT!C8</f>
        <v>0</v>
      </c>
      <c r="I7" s="361" t="s">
        <v>327</v>
      </c>
      <c r="J7" s="362"/>
      <c r="K7" s="6"/>
      <c r="M7" s="256"/>
    </row>
    <row r="8" spans="2:11" ht="14.25" hidden="1" outlineLevel="1">
      <c r="B8" s="4"/>
      <c r="C8" s="151">
        <f>1-(1-C19)*(1-C20)</f>
        <v>0</v>
      </c>
      <c r="D8" s="12" t="s">
        <v>188</v>
      </c>
      <c r="E8" s="5"/>
      <c r="F8" s="5"/>
      <c r="G8" s="5"/>
      <c r="H8" s="5"/>
      <c r="I8" s="5"/>
      <c r="J8" s="5"/>
      <c r="K8" s="6"/>
    </row>
    <row r="9" spans="2:11" ht="14.25" hidden="1" outlineLevel="1">
      <c r="B9" s="4"/>
      <c r="C9" s="415" t="s">
        <v>332</v>
      </c>
      <c r="D9" s="416"/>
      <c r="E9" s="416"/>
      <c r="F9" s="416"/>
      <c r="G9" s="416"/>
      <c r="H9" s="416"/>
      <c r="I9" s="416"/>
      <c r="J9" s="417"/>
      <c r="K9" s="6"/>
    </row>
    <row r="10" spans="2:11" ht="14.25" hidden="1" outlineLevel="1">
      <c r="B10" s="4"/>
      <c r="C10" s="418"/>
      <c r="D10" s="419"/>
      <c r="E10" s="419"/>
      <c r="F10" s="419"/>
      <c r="G10" s="419"/>
      <c r="H10" s="419"/>
      <c r="I10" s="419"/>
      <c r="J10" s="420"/>
      <c r="K10" s="6"/>
    </row>
    <row r="11" spans="2:11" ht="14.25" hidden="1" outlineLevel="1">
      <c r="B11" s="4"/>
      <c r="D11" s="112"/>
      <c r="E11" s="112" t="s">
        <v>329</v>
      </c>
      <c r="F11" s="112"/>
      <c r="G11" s="112"/>
      <c r="H11" s="112"/>
      <c r="I11" s="112"/>
      <c r="J11" s="112"/>
      <c r="K11" s="6"/>
    </row>
    <row r="12" spans="2:11" ht="14.25" hidden="1" outlineLevel="1">
      <c r="B12" s="4"/>
      <c r="D12" s="255" t="s">
        <v>213</v>
      </c>
      <c r="E12" s="254">
        <f>Assumptions!D201</f>
        <v>0.75</v>
      </c>
      <c r="F12" s="112"/>
      <c r="G12" s="112"/>
      <c r="H12" s="112"/>
      <c r="I12" s="261" t="s">
        <v>347</v>
      </c>
      <c r="K12" s="6"/>
    </row>
    <row r="13" spans="2:11" ht="14.25" hidden="1" outlineLevel="1">
      <c r="B13" s="4"/>
      <c r="D13" s="255" t="s">
        <v>122</v>
      </c>
      <c r="E13" s="254">
        <f>Assumptions!D202</f>
        <v>0.75</v>
      </c>
      <c r="F13" s="112"/>
      <c r="G13" s="112"/>
      <c r="H13" s="112"/>
      <c r="I13" s="261" t="s">
        <v>347</v>
      </c>
      <c r="J13" s="112"/>
      <c r="K13" s="6"/>
    </row>
    <row r="14" spans="2:11" ht="14.25" hidden="1" outlineLevel="1">
      <c r="B14" s="4"/>
      <c r="D14" s="255" t="s">
        <v>185</v>
      </c>
      <c r="E14" s="254">
        <f>Assumptions!D203</f>
        <v>0.4</v>
      </c>
      <c r="F14" s="112"/>
      <c r="G14" s="112"/>
      <c r="H14" s="112"/>
      <c r="I14" s="261" t="s">
        <v>347</v>
      </c>
      <c r="J14" s="112"/>
      <c r="K14" s="6"/>
    </row>
    <row r="15" spans="2:11" ht="14.25" hidden="1" outlineLevel="1">
      <c r="B15" s="4"/>
      <c r="D15" s="255" t="s">
        <v>121</v>
      </c>
      <c r="E15" s="254">
        <f>Assumptions!D204</f>
        <v>0.2</v>
      </c>
      <c r="F15" s="112"/>
      <c r="G15" s="112"/>
      <c r="H15" s="112"/>
      <c r="I15" s="261" t="s">
        <v>347</v>
      </c>
      <c r="J15" s="112"/>
      <c r="K15" s="6"/>
    </row>
    <row r="16" spans="2:11" ht="14.25" hidden="1" outlineLevel="1">
      <c r="B16" s="4"/>
      <c r="D16" s="255" t="s">
        <v>186</v>
      </c>
      <c r="E16" s="254">
        <f>Assumptions!D205</f>
        <v>0.15</v>
      </c>
      <c r="F16" s="112"/>
      <c r="G16" s="112"/>
      <c r="H16" s="112"/>
      <c r="I16" s="261" t="s">
        <v>347</v>
      </c>
      <c r="J16" s="112"/>
      <c r="K16" s="6"/>
    </row>
    <row r="17" spans="2:11" ht="14.25" hidden="1" outlineLevel="1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4.25" hidden="1" outlineLevel="1">
      <c r="B18" s="4"/>
      <c r="C18" s="12" t="s">
        <v>302</v>
      </c>
      <c r="D18" s="5"/>
      <c r="E18" s="5"/>
      <c r="F18" s="5"/>
      <c r="G18" s="5"/>
      <c r="H18" s="5"/>
      <c r="I18" s="5"/>
      <c r="J18" s="5"/>
      <c r="K18" s="6"/>
    </row>
    <row r="19" spans="2:11" ht="14.25" hidden="1" outlineLevel="1">
      <c r="B19" s="122" t="s">
        <v>125</v>
      </c>
      <c r="C19" s="118">
        <f>C26</f>
        <v>0</v>
      </c>
      <c r="D19" s="5" t="s">
        <v>303</v>
      </c>
      <c r="E19" s="5"/>
      <c r="F19" s="5"/>
      <c r="G19" s="5"/>
      <c r="H19" s="5"/>
      <c r="I19" s="5"/>
      <c r="J19" s="5"/>
      <c r="K19" s="6"/>
    </row>
    <row r="20" spans="2:11" ht="14.25" hidden="1" outlineLevel="1">
      <c r="B20" s="122" t="s">
        <v>126</v>
      </c>
      <c r="C20" s="118">
        <f>D116</f>
        <v>0</v>
      </c>
      <c r="D20" s="5" t="s">
        <v>304</v>
      </c>
      <c r="E20" s="5"/>
      <c r="F20" s="5"/>
      <c r="G20" s="5"/>
      <c r="H20" s="5"/>
      <c r="I20" s="5"/>
      <c r="J20" s="5"/>
      <c r="K20" s="6"/>
    </row>
    <row r="21" spans="2:11" ht="15" hidden="1" outlineLevel="1" thickBot="1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8.75" collapsed="1" thickBot="1">
      <c r="B22" s="412" t="s">
        <v>92</v>
      </c>
      <c r="C22" s="413"/>
      <c r="D22" s="413"/>
      <c r="E22" s="413"/>
      <c r="F22" s="413"/>
      <c r="G22" s="413"/>
      <c r="H22" s="413"/>
      <c r="I22" s="413"/>
      <c r="J22" s="413"/>
      <c r="K22" s="414"/>
    </row>
    <row r="23" ht="15" thickBot="1"/>
    <row r="24" spans="2:11" ht="14.25" hidden="1" outlineLevel="1">
      <c r="B24" s="1"/>
      <c r="C24" s="2"/>
      <c r="D24" s="2"/>
      <c r="E24" s="2"/>
      <c r="F24" s="2"/>
      <c r="G24" s="2"/>
      <c r="H24" s="2"/>
      <c r="I24" s="2"/>
      <c r="J24" s="2"/>
      <c r="K24" s="3"/>
    </row>
    <row r="25" spans="2:11" ht="14.25" hidden="1" outlineLevel="1">
      <c r="B25" s="4"/>
      <c r="E25" s="5"/>
      <c r="F25" s="5"/>
      <c r="G25" s="5"/>
      <c r="H25" s="5"/>
      <c r="I25" s="5"/>
      <c r="J25" s="5"/>
      <c r="K25" s="6"/>
    </row>
    <row r="26" spans="2:11" ht="32.25" customHeight="1" hidden="1" outlineLevel="1">
      <c r="B26" s="4"/>
      <c r="C26" s="115">
        <f>MIN(VLOOKUP(INPUT!$C$7,'Maximum Calcs'!D31:E35,2,FALSE),C27)</f>
        <v>0</v>
      </c>
      <c r="D26" s="361" t="s">
        <v>99</v>
      </c>
      <c r="E26" s="362"/>
      <c r="F26" s="5"/>
      <c r="G26" s="5"/>
      <c r="H26" s="244">
        <f>C26*INPUT!C8</f>
        <v>0</v>
      </c>
      <c r="I26" s="361" t="s">
        <v>326</v>
      </c>
      <c r="J26" s="362"/>
      <c r="K26" s="6"/>
    </row>
    <row r="27" spans="2:11" ht="14.25" hidden="1" outlineLevel="1">
      <c r="B27" s="4"/>
      <c r="C27" s="151">
        <f>1-(1-C38)*(1-C39)*(1-C40)*(1-C41)</f>
        <v>0</v>
      </c>
      <c r="D27" s="12" t="s">
        <v>188</v>
      </c>
      <c r="E27" s="5"/>
      <c r="F27" s="5"/>
      <c r="G27" s="5"/>
      <c r="H27" s="5"/>
      <c r="I27" s="5"/>
      <c r="J27" s="5"/>
      <c r="K27" s="6"/>
    </row>
    <row r="28" spans="2:11" ht="14.25" hidden="1" outlineLevel="1">
      <c r="B28" s="4"/>
      <c r="C28" s="415" t="s">
        <v>333</v>
      </c>
      <c r="D28" s="416"/>
      <c r="E28" s="416"/>
      <c r="F28" s="416"/>
      <c r="G28" s="416"/>
      <c r="H28" s="416"/>
      <c r="I28" s="416"/>
      <c r="J28" s="417"/>
      <c r="K28" s="6"/>
    </row>
    <row r="29" spans="2:11" ht="14.25" hidden="1" outlineLevel="1">
      <c r="B29" s="4"/>
      <c r="C29" s="418"/>
      <c r="D29" s="419"/>
      <c r="E29" s="419"/>
      <c r="F29" s="419"/>
      <c r="G29" s="419"/>
      <c r="H29" s="419"/>
      <c r="I29" s="419"/>
      <c r="J29" s="420"/>
      <c r="K29" s="6"/>
    </row>
    <row r="30" spans="2:11" ht="14.25" hidden="1" outlineLevel="1">
      <c r="B30" s="4"/>
      <c r="D30" s="112"/>
      <c r="E30" s="112" t="s">
        <v>329</v>
      </c>
      <c r="F30" s="112"/>
      <c r="G30" s="112"/>
      <c r="H30" s="112"/>
      <c r="I30" s="112"/>
      <c r="J30" s="112"/>
      <c r="K30" s="6"/>
    </row>
    <row r="31" spans="2:11" ht="14.25" hidden="1" outlineLevel="1">
      <c r="B31" s="4"/>
      <c r="D31" s="255" t="s">
        <v>213</v>
      </c>
      <c r="E31" s="254">
        <f>Assumptions!D212</f>
        <v>0.7</v>
      </c>
      <c r="F31" s="112"/>
      <c r="G31" s="112"/>
      <c r="H31" s="112"/>
      <c r="I31" s="261" t="s">
        <v>347</v>
      </c>
      <c r="K31" s="6"/>
    </row>
    <row r="32" spans="2:11" ht="14.25" hidden="1" outlineLevel="1">
      <c r="B32" s="4"/>
      <c r="D32" s="255" t="s">
        <v>122</v>
      </c>
      <c r="E32" s="254">
        <f>Assumptions!D213</f>
        <v>0.7</v>
      </c>
      <c r="F32" s="112"/>
      <c r="G32" s="112"/>
      <c r="H32" s="112"/>
      <c r="I32" s="261" t="s">
        <v>347</v>
      </c>
      <c r="J32" s="112"/>
      <c r="K32" s="6"/>
    </row>
    <row r="33" spans="2:11" ht="14.25" hidden="1" outlineLevel="1">
      <c r="B33" s="4"/>
      <c r="D33" s="255" t="s">
        <v>185</v>
      </c>
      <c r="E33" s="254">
        <f>Assumptions!D214</f>
        <v>0.35</v>
      </c>
      <c r="F33" s="112"/>
      <c r="G33" s="112"/>
      <c r="H33" s="112"/>
      <c r="I33" s="261" t="s">
        <v>347</v>
      </c>
      <c r="J33" s="112"/>
      <c r="K33" s="6"/>
    </row>
    <row r="34" spans="2:11" ht="14.25" hidden="1" outlineLevel="1">
      <c r="B34" s="4"/>
      <c r="D34" s="255" t="s">
        <v>121</v>
      </c>
      <c r="E34" s="254">
        <f>Assumptions!D215</f>
        <v>0.15</v>
      </c>
      <c r="F34" s="112"/>
      <c r="G34" s="112"/>
      <c r="H34" s="112"/>
      <c r="I34" s="261" t="s">
        <v>347</v>
      </c>
      <c r="J34" s="112"/>
      <c r="K34" s="6"/>
    </row>
    <row r="35" spans="2:11" ht="14.25" hidden="1" outlineLevel="1">
      <c r="B35" s="4"/>
      <c r="D35" s="255" t="s">
        <v>186</v>
      </c>
      <c r="E35" s="254">
        <f>Assumptions!D216</f>
        <v>0.1</v>
      </c>
      <c r="F35" s="112"/>
      <c r="G35" s="112"/>
      <c r="H35" s="112"/>
      <c r="I35" s="261" t="s">
        <v>347</v>
      </c>
      <c r="J35" s="112"/>
      <c r="K35" s="6"/>
    </row>
    <row r="36" spans="2:11" ht="14.25" hidden="1" outlineLevel="1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4.25" hidden="1" outlineLevel="1">
      <c r="B37" s="4"/>
      <c r="C37" s="12" t="s">
        <v>95</v>
      </c>
      <c r="D37" s="5"/>
      <c r="E37" s="5"/>
      <c r="F37" s="5"/>
      <c r="G37" s="5"/>
      <c r="H37" s="5"/>
      <c r="I37" s="5"/>
      <c r="J37" s="5"/>
      <c r="K37" s="6"/>
    </row>
    <row r="38" spans="2:11" ht="14.25" hidden="1" outlineLevel="1">
      <c r="B38" s="122" t="s">
        <v>125</v>
      </c>
      <c r="C38" s="118">
        <f>D47</f>
        <v>0</v>
      </c>
      <c r="D38" s="5" t="s">
        <v>96</v>
      </c>
      <c r="E38" s="5"/>
      <c r="F38" s="5"/>
      <c r="G38" s="5"/>
      <c r="H38" s="5"/>
      <c r="I38" s="5"/>
      <c r="J38" s="5"/>
      <c r="K38" s="6"/>
    </row>
    <row r="39" spans="2:11" ht="14.25" hidden="1" outlineLevel="1">
      <c r="B39" s="122" t="s">
        <v>126</v>
      </c>
      <c r="C39" s="118">
        <f>D69</f>
        <v>0</v>
      </c>
      <c r="D39" s="5" t="s">
        <v>97</v>
      </c>
      <c r="E39" s="5"/>
      <c r="F39" s="5"/>
      <c r="G39" s="5"/>
      <c r="H39" s="5"/>
      <c r="I39" s="5"/>
      <c r="J39" s="5"/>
      <c r="K39" s="6"/>
    </row>
    <row r="40" spans="2:11" ht="14.25" hidden="1" outlineLevel="1">
      <c r="B40" s="122" t="s">
        <v>127</v>
      </c>
      <c r="C40" s="118">
        <f>D86</f>
        <v>0</v>
      </c>
      <c r="D40" s="5" t="s">
        <v>98</v>
      </c>
      <c r="E40" s="5"/>
      <c r="F40" s="5"/>
      <c r="G40" s="5"/>
      <c r="H40" s="5"/>
      <c r="I40" s="5"/>
      <c r="J40" s="5"/>
      <c r="K40" s="6"/>
    </row>
    <row r="41" spans="2:11" ht="14.25" hidden="1" outlineLevel="1">
      <c r="B41" s="122" t="s">
        <v>179</v>
      </c>
      <c r="C41" s="118">
        <f>D101</f>
        <v>0</v>
      </c>
      <c r="D41" s="13" t="s">
        <v>1</v>
      </c>
      <c r="E41" s="5"/>
      <c r="F41" s="5"/>
      <c r="G41" s="5"/>
      <c r="H41" s="5"/>
      <c r="I41" s="5"/>
      <c r="J41" s="5"/>
      <c r="K41" s="6"/>
    </row>
    <row r="42" spans="2:11" ht="15" hidden="1" outlineLevel="1" thickBot="1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8.75" collapsed="1" thickBot="1">
      <c r="B43" s="412" t="s">
        <v>101</v>
      </c>
      <c r="C43" s="413"/>
      <c r="D43" s="413"/>
      <c r="E43" s="413"/>
      <c r="F43" s="413"/>
      <c r="G43" s="413"/>
      <c r="H43" s="413"/>
      <c r="I43" s="413"/>
      <c r="J43" s="413"/>
      <c r="K43" s="414"/>
    </row>
    <row r="44" ht="15" thickBot="1"/>
    <row r="45" spans="2:11" ht="15" hidden="1" outlineLevel="1" thickBot="1">
      <c r="B45" s="1"/>
      <c r="C45" s="2"/>
      <c r="D45" s="2"/>
      <c r="E45" s="2"/>
      <c r="F45" s="2"/>
      <c r="G45" s="2"/>
      <c r="H45" s="2"/>
      <c r="I45" s="2"/>
      <c r="J45" s="2"/>
      <c r="K45" s="3"/>
    </row>
    <row r="46" spans="2:11" ht="14.25" hidden="1" outlineLevel="2">
      <c r="B46" s="4"/>
      <c r="C46" s="1"/>
      <c r="D46" s="2"/>
      <c r="E46" s="2"/>
      <c r="F46" s="2"/>
      <c r="G46" s="2"/>
      <c r="H46" s="2"/>
      <c r="I46" s="2"/>
      <c r="J46" s="3"/>
      <c r="K46" s="6"/>
    </row>
    <row r="47" spans="2:11" ht="14.25" hidden="1" outlineLevel="2">
      <c r="B47" s="4"/>
      <c r="C47" s="4"/>
      <c r="D47" s="115">
        <f>MIN(VLOOKUP(INPUT!$C$7,'Maximum Calcs'!E52:F56,2,FALSE),D48)</f>
        <v>0</v>
      </c>
      <c r="E47" s="5" t="s">
        <v>100</v>
      </c>
      <c r="F47" s="5"/>
      <c r="G47" s="5"/>
      <c r="H47" s="5"/>
      <c r="I47" s="5"/>
      <c r="J47" s="6"/>
      <c r="K47" s="6"/>
    </row>
    <row r="48" spans="2:11" ht="14.25" hidden="1" outlineLevel="2">
      <c r="B48" s="4"/>
      <c r="C48" s="4"/>
      <c r="D48" s="151">
        <f>1-(1-D59)*(1-D60)*(1-D61)*(1-D62)*(1-D63)*(1-D64)</f>
        <v>0</v>
      </c>
      <c r="E48" s="12" t="s">
        <v>188</v>
      </c>
      <c r="F48" s="5"/>
      <c r="G48" s="5"/>
      <c r="H48" s="5"/>
      <c r="I48" s="5"/>
      <c r="J48" s="6"/>
      <c r="K48" s="6"/>
    </row>
    <row r="49" spans="2:11" ht="14.25" hidden="1" outlineLevel="2">
      <c r="B49" s="4"/>
      <c r="C49" s="4"/>
      <c r="D49" s="415" t="s">
        <v>336</v>
      </c>
      <c r="E49" s="416"/>
      <c r="F49" s="416"/>
      <c r="G49" s="416"/>
      <c r="H49" s="416"/>
      <c r="I49" s="417"/>
      <c r="J49" s="6"/>
      <c r="K49" s="6"/>
    </row>
    <row r="50" spans="2:11" ht="14.25" hidden="1" outlineLevel="2">
      <c r="B50" s="4"/>
      <c r="C50" s="4"/>
      <c r="D50" s="418"/>
      <c r="E50" s="419"/>
      <c r="F50" s="419"/>
      <c r="G50" s="419"/>
      <c r="H50" s="419"/>
      <c r="I50" s="420"/>
      <c r="J50" s="6"/>
      <c r="K50" s="6"/>
    </row>
    <row r="51" spans="2:11" ht="14.25" hidden="1" outlineLevel="2">
      <c r="B51" s="4"/>
      <c r="C51" s="4"/>
      <c r="D51" s="5"/>
      <c r="E51" s="112"/>
      <c r="F51" s="112" t="s">
        <v>329</v>
      </c>
      <c r="G51" s="112"/>
      <c r="H51" s="112"/>
      <c r="I51" s="112"/>
      <c r="J51" s="257"/>
      <c r="K51" s="6"/>
    </row>
    <row r="52" spans="2:11" ht="14.25" hidden="1" outlineLevel="2">
      <c r="B52" s="4"/>
      <c r="C52" s="4"/>
      <c r="D52" s="5"/>
      <c r="E52" s="255" t="s">
        <v>213</v>
      </c>
      <c r="F52" s="254">
        <f>Assumptions!E224</f>
        <v>0.65</v>
      </c>
      <c r="G52" s="112"/>
      <c r="H52" s="261" t="s">
        <v>347</v>
      </c>
      <c r="I52" s="5"/>
      <c r="J52" s="6"/>
      <c r="K52" s="6"/>
    </row>
    <row r="53" spans="2:11" ht="14.25" hidden="1" outlineLevel="2">
      <c r="B53" s="4"/>
      <c r="C53" s="4"/>
      <c r="D53" s="5"/>
      <c r="E53" s="255" t="s">
        <v>122</v>
      </c>
      <c r="F53" s="254">
        <f>Assumptions!E225</f>
        <v>0.65</v>
      </c>
      <c r="G53" s="112"/>
      <c r="H53" s="261" t="s">
        <v>347</v>
      </c>
      <c r="I53" s="5"/>
      <c r="J53" s="257"/>
      <c r="K53" s="6"/>
    </row>
    <row r="54" spans="2:11" ht="14.25" hidden="1" outlineLevel="2">
      <c r="B54" s="4"/>
      <c r="C54" s="4"/>
      <c r="D54" s="5"/>
      <c r="E54" s="255" t="s">
        <v>185</v>
      </c>
      <c r="F54" s="254">
        <f>Assumptions!E226</f>
        <v>0.3</v>
      </c>
      <c r="G54" s="112"/>
      <c r="H54" s="261" t="s">
        <v>347</v>
      </c>
      <c r="I54" s="5"/>
      <c r="J54" s="257"/>
      <c r="K54" s="6"/>
    </row>
    <row r="55" spans="2:11" ht="14.25" hidden="1" outlineLevel="2">
      <c r="B55" s="4"/>
      <c r="C55" s="4"/>
      <c r="D55" s="5"/>
      <c r="E55" s="255" t="s">
        <v>121</v>
      </c>
      <c r="F55" s="254">
        <f>Assumptions!E227</f>
        <v>0.1</v>
      </c>
      <c r="G55" s="112"/>
      <c r="H55" s="261" t="s">
        <v>347</v>
      </c>
      <c r="I55" s="5"/>
      <c r="J55" s="257"/>
      <c r="K55" s="6"/>
    </row>
    <row r="56" spans="2:11" ht="14.25" hidden="1" outlineLevel="2">
      <c r="B56" s="4"/>
      <c r="C56" s="4"/>
      <c r="D56" s="5"/>
      <c r="E56" s="255" t="s">
        <v>186</v>
      </c>
      <c r="F56" s="254">
        <f>Assumptions!E228</f>
        <v>0.05</v>
      </c>
      <c r="G56" s="112"/>
      <c r="H56" s="261" t="s">
        <v>347</v>
      </c>
      <c r="I56" s="5"/>
      <c r="J56" s="257"/>
      <c r="K56" s="6"/>
    </row>
    <row r="57" spans="2:11" ht="14.25" hidden="1" outlineLevel="2">
      <c r="B57" s="4"/>
      <c r="C57" s="4"/>
      <c r="D57" s="112"/>
      <c r="E57" s="112"/>
      <c r="F57" s="112"/>
      <c r="G57" s="112"/>
      <c r="H57" s="112"/>
      <c r="I57" s="112"/>
      <c r="J57" s="6"/>
      <c r="K57" s="6"/>
    </row>
    <row r="58" spans="2:11" ht="14.25" hidden="1" outlineLevel="2">
      <c r="B58" s="4"/>
      <c r="C58" s="4"/>
      <c r="D58" s="113" t="s">
        <v>120</v>
      </c>
      <c r="E58" s="112"/>
      <c r="F58" s="112"/>
      <c r="G58" s="112"/>
      <c r="H58" s="112"/>
      <c r="I58" s="112"/>
      <c r="J58" s="6"/>
      <c r="K58" s="6"/>
    </row>
    <row r="59" spans="2:11" ht="14.25" hidden="1" outlineLevel="2">
      <c r="B59" s="4"/>
      <c r="C59" s="122" t="s">
        <v>125</v>
      </c>
      <c r="D59" s="115">
        <f>'Land Use'!D7</f>
        <v>0</v>
      </c>
      <c r="E59" s="137" t="s">
        <v>2</v>
      </c>
      <c r="F59" s="112"/>
      <c r="G59" s="112"/>
      <c r="H59" s="112"/>
      <c r="I59" s="112"/>
      <c r="J59" s="6"/>
      <c r="K59" s="6"/>
    </row>
    <row r="60" spans="2:11" ht="14.25" hidden="1" outlineLevel="2">
      <c r="B60" s="4"/>
      <c r="C60" s="122" t="s">
        <v>126</v>
      </c>
      <c r="D60" s="115">
        <f>'Land Use'!D26</f>
        <v>0</v>
      </c>
      <c r="E60" s="137" t="s">
        <v>3</v>
      </c>
      <c r="F60" s="112"/>
      <c r="G60" s="112"/>
      <c r="H60" s="112"/>
      <c r="I60" s="112"/>
      <c r="J60" s="6"/>
      <c r="K60" s="6"/>
    </row>
    <row r="61" spans="2:11" ht="14.25" hidden="1" outlineLevel="2">
      <c r="B61" s="4"/>
      <c r="C61" s="122" t="s">
        <v>127</v>
      </c>
      <c r="D61" s="115">
        <f>'Land Use'!D45</f>
        <v>0</v>
      </c>
      <c r="E61" s="137" t="s">
        <v>5</v>
      </c>
      <c r="F61" s="112"/>
      <c r="G61" s="112"/>
      <c r="H61" s="112"/>
      <c r="I61" s="112"/>
      <c r="J61" s="6"/>
      <c r="K61" s="6"/>
    </row>
    <row r="62" spans="2:11" ht="14.25" hidden="1" outlineLevel="2">
      <c r="B62" s="4"/>
      <c r="C62" s="122" t="s">
        <v>179</v>
      </c>
      <c r="D62" s="115">
        <f>'Land Use'!D73</f>
        <v>0</v>
      </c>
      <c r="E62" s="137" t="s">
        <v>13</v>
      </c>
      <c r="F62" s="112"/>
      <c r="G62" s="112"/>
      <c r="H62" s="112"/>
      <c r="I62" s="112"/>
      <c r="J62" s="6"/>
      <c r="K62" s="6"/>
    </row>
    <row r="63" spans="2:11" ht="14.25" hidden="1" outlineLevel="2">
      <c r="B63" s="4"/>
      <c r="C63" s="122" t="s">
        <v>180</v>
      </c>
      <c r="D63" s="115">
        <f>'Land Use'!D91</f>
        <v>0</v>
      </c>
      <c r="E63" s="137" t="s">
        <v>15</v>
      </c>
      <c r="F63" s="112"/>
      <c r="G63" s="112"/>
      <c r="H63" s="112"/>
      <c r="I63" s="112"/>
      <c r="J63" s="6"/>
      <c r="K63" s="6"/>
    </row>
    <row r="64" spans="2:11" ht="14.25" hidden="1" outlineLevel="2">
      <c r="B64" s="4"/>
      <c r="C64" s="122" t="s">
        <v>181</v>
      </c>
      <c r="D64" s="115">
        <f>'Land Use'!D121</f>
        <v>0</v>
      </c>
      <c r="E64" s="137" t="s">
        <v>82</v>
      </c>
      <c r="F64" s="112"/>
      <c r="G64" s="112"/>
      <c r="H64" s="112"/>
      <c r="I64" s="112"/>
      <c r="J64" s="6"/>
      <c r="K64" s="6"/>
    </row>
    <row r="65" spans="2:11" ht="15" hidden="1" outlineLevel="2" thickBot="1">
      <c r="B65" s="4"/>
      <c r="C65" s="69"/>
      <c r="D65" s="70"/>
      <c r="E65" s="70"/>
      <c r="F65" s="70"/>
      <c r="G65" s="70"/>
      <c r="H65" s="70"/>
      <c r="I65" s="70"/>
      <c r="J65" s="71"/>
      <c r="K65" s="6"/>
    </row>
    <row r="66" spans="2:11" ht="19.5" customHeight="1" hidden="1" outlineLevel="1" thickBot="1">
      <c r="B66" s="4"/>
      <c r="C66" s="382" t="s">
        <v>18</v>
      </c>
      <c r="D66" s="383"/>
      <c r="E66" s="383"/>
      <c r="F66" s="383"/>
      <c r="G66" s="383"/>
      <c r="H66" s="383"/>
      <c r="I66" s="383"/>
      <c r="J66" s="384"/>
      <c r="K66" s="6"/>
    </row>
    <row r="67" spans="2:11" ht="15" hidden="1" outlineLevel="1" thickBot="1">
      <c r="B67" s="4"/>
      <c r="C67" s="5"/>
      <c r="D67" s="5"/>
      <c r="E67" s="5"/>
      <c r="F67" s="5"/>
      <c r="G67" s="5"/>
      <c r="H67" s="5"/>
      <c r="I67" s="5"/>
      <c r="J67" s="5"/>
      <c r="K67" s="6"/>
    </row>
    <row r="68" spans="2:11" ht="14.25" hidden="1" outlineLevel="2">
      <c r="B68" s="4"/>
      <c r="C68" s="1"/>
      <c r="D68" s="2"/>
      <c r="E68" s="2"/>
      <c r="F68" s="2"/>
      <c r="G68" s="2"/>
      <c r="H68" s="2"/>
      <c r="I68" s="2"/>
      <c r="J68" s="3"/>
      <c r="K68" s="6"/>
    </row>
    <row r="69" spans="2:11" ht="14.25" hidden="1" outlineLevel="2">
      <c r="B69" s="4"/>
      <c r="C69" s="4"/>
      <c r="D69" s="168">
        <f>IF(INPUT!D75="yes",MIN(F75,1-(1-D78)*(1-D79)*(1-D80)*(1-D81)),MIN(F74,1-(1-D78)*(1-D79)*(1-D81)))</f>
        <v>0</v>
      </c>
      <c r="E69" s="5" t="s">
        <v>100</v>
      </c>
      <c r="F69" s="5"/>
      <c r="G69" s="5"/>
      <c r="H69" s="5"/>
      <c r="I69" s="5"/>
      <c r="J69" s="6"/>
      <c r="K69" s="6"/>
    </row>
    <row r="70" spans="2:11" ht="14.25" hidden="1" outlineLevel="2">
      <c r="B70" s="4"/>
      <c r="C70" s="4"/>
      <c r="D70" s="5"/>
      <c r="E70" s="5"/>
      <c r="F70" s="5"/>
      <c r="G70" s="5"/>
      <c r="H70" s="5"/>
      <c r="I70" s="5"/>
      <c r="J70" s="6"/>
      <c r="K70" s="6"/>
    </row>
    <row r="71" spans="2:12" ht="14.25" hidden="1" outlineLevel="2">
      <c r="B71" s="4"/>
      <c r="C71" s="4"/>
      <c r="D71" s="415" t="s">
        <v>333</v>
      </c>
      <c r="E71" s="416"/>
      <c r="F71" s="416"/>
      <c r="G71" s="416"/>
      <c r="H71" s="416"/>
      <c r="I71" s="417"/>
      <c r="J71" s="6"/>
      <c r="K71" s="6"/>
      <c r="L71" s="121"/>
    </row>
    <row r="72" spans="2:11" ht="14.25" hidden="1" outlineLevel="2">
      <c r="B72" s="4"/>
      <c r="C72" s="4"/>
      <c r="D72" s="418"/>
      <c r="E72" s="419"/>
      <c r="F72" s="419"/>
      <c r="G72" s="419"/>
      <c r="H72" s="419"/>
      <c r="I72" s="420"/>
      <c r="J72" s="6"/>
      <c r="K72" s="6"/>
    </row>
    <row r="73" spans="2:11" ht="14.25" hidden="1" outlineLevel="2">
      <c r="B73" s="4"/>
      <c r="C73" s="4"/>
      <c r="D73" s="112"/>
      <c r="E73" s="112"/>
      <c r="F73" s="112" t="s">
        <v>329</v>
      </c>
      <c r="G73" s="112"/>
      <c r="H73" s="112"/>
      <c r="I73" s="112"/>
      <c r="J73" s="6"/>
      <c r="K73" s="6"/>
    </row>
    <row r="74" spans="2:11" ht="14.25" hidden="1" outlineLevel="2">
      <c r="B74" s="4"/>
      <c r="C74" s="4"/>
      <c r="D74" s="112"/>
      <c r="E74" s="255" t="s">
        <v>338</v>
      </c>
      <c r="F74" s="254">
        <f>Assumptions!E235</f>
        <v>0.05</v>
      </c>
      <c r="G74" s="112"/>
      <c r="H74" s="261" t="s">
        <v>347</v>
      </c>
      <c r="I74" s="112"/>
      <c r="J74" s="6"/>
      <c r="K74" s="6"/>
    </row>
    <row r="75" spans="2:11" ht="14.25" hidden="1" outlineLevel="2">
      <c r="B75" s="4"/>
      <c r="C75" s="4"/>
      <c r="D75" s="112"/>
      <c r="E75" s="255" t="s">
        <v>337</v>
      </c>
      <c r="F75" s="254">
        <f>Assumptions!E236</f>
        <v>0.15</v>
      </c>
      <c r="G75" s="112"/>
      <c r="H75" s="261" t="s">
        <v>347</v>
      </c>
      <c r="I75" s="112"/>
      <c r="J75" s="6"/>
      <c r="K75" s="6"/>
    </row>
    <row r="76" spans="2:11" ht="14.25" hidden="1" outlineLevel="2">
      <c r="B76" s="4"/>
      <c r="C76" s="4"/>
      <c r="D76" s="112"/>
      <c r="E76" s="112"/>
      <c r="F76" s="112"/>
      <c r="G76" s="112"/>
      <c r="H76" s="112"/>
      <c r="I76" s="112"/>
      <c r="J76" s="6"/>
      <c r="K76" s="6"/>
    </row>
    <row r="77" spans="2:11" ht="14.25" hidden="1" outlineLevel="2">
      <c r="B77" s="4"/>
      <c r="C77" s="4"/>
      <c r="D77" s="113" t="s">
        <v>120</v>
      </c>
      <c r="E77" s="112"/>
      <c r="F77" s="112"/>
      <c r="G77" s="112"/>
      <c r="H77" s="112"/>
      <c r="I77" s="112"/>
      <c r="J77" s="6"/>
      <c r="K77" s="6"/>
    </row>
    <row r="78" spans="2:11" ht="14.25" hidden="1" outlineLevel="2">
      <c r="B78" s="4"/>
      <c r="C78" s="122" t="s">
        <v>125</v>
      </c>
      <c r="D78" s="115">
        <f>Neighborhood!D7</f>
        <v>0</v>
      </c>
      <c r="E78" s="137" t="s">
        <v>71</v>
      </c>
      <c r="F78" s="112"/>
      <c r="G78" s="112"/>
      <c r="H78" s="112"/>
      <c r="I78" s="112"/>
      <c r="J78" s="6"/>
      <c r="K78" s="6"/>
    </row>
    <row r="79" spans="2:11" ht="14.25" hidden="1" outlineLevel="2">
      <c r="B79" s="4"/>
      <c r="C79" s="122" t="s">
        <v>126</v>
      </c>
      <c r="D79" s="115">
        <f>Neighborhood!D22</f>
        <v>0</v>
      </c>
      <c r="E79" s="137" t="s">
        <v>74</v>
      </c>
      <c r="F79" s="112"/>
      <c r="G79" s="112"/>
      <c r="H79" s="112"/>
      <c r="I79" s="112"/>
      <c r="J79" s="6"/>
      <c r="K79" s="6"/>
    </row>
    <row r="80" spans="2:11" ht="14.25" hidden="1" outlineLevel="2">
      <c r="B80" s="4"/>
      <c r="C80" s="122" t="s">
        <v>127</v>
      </c>
      <c r="D80" s="115">
        <f>Neighborhood!D41</f>
        <v>0</v>
      </c>
      <c r="E80" s="137" t="s">
        <v>78</v>
      </c>
      <c r="F80" s="112"/>
      <c r="G80" s="112"/>
      <c r="H80" s="112"/>
      <c r="I80" s="112"/>
      <c r="J80" s="6"/>
      <c r="K80" s="6"/>
    </row>
    <row r="81" spans="2:11" ht="14.25" hidden="1" outlineLevel="2">
      <c r="B81" s="4"/>
      <c r="C81" s="122" t="s">
        <v>179</v>
      </c>
      <c r="D81" s="115">
        <f>Neighborhood!D54</f>
        <v>0</v>
      </c>
      <c r="E81" s="137" t="s">
        <v>119</v>
      </c>
      <c r="F81" s="112"/>
      <c r="G81" s="112"/>
      <c r="H81" s="112"/>
      <c r="I81" s="112"/>
      <c r="J81" s="6"/>
      <c r="K81" s="6"/>
    </row>
    <row r="82" spans="2:11" ht="15" hidden="1" outlineLevel="2" thickBot="1">
      <c r="B82" s="4"/>
      <c r="C82" s="4"/>
      <c r="D82" s="5"/>
      <c r="E82" s="5"/>
      <c r="F82" s="5"/>
      <c r="G82" s="5"/>
      <c r="H82" s="5"/>
      <c r="I82" s="5"/>
      <c r="J82" s="6"/>
      <c r="K82" s="6"/>
    </row>
    <row r="83" spans="2:11" ht="19.5" customHeight="1" hidden="1" outlineLevel="1" thickBot="1">
      <c r="B83" s="4"/>
      <c r="C83" s="369" t="s">
        <v>19</v>
      </c>
      <c r="D83" s="370"/>
      <c r="E83" s="370"/>
      <c r="F83" s="370"/>
      <c r="G83" s="370"/>
      <c r="H83" s="370"/>
      <c r="I83" s="370"/>
      <c r="J83" s="371"/>
      <c r="K83" s="6"/>
    </row>
    <row r="84" spans="2:11" ht="15" hidden="1" outlineLevel="1" thickBot="1">
      <c r="B84" s="4"/>
      <c r="C84" s="5"/>
      <c r="D84" s="5"/>
      <c r="E84" s="5"/>
      <c r="F84" s="5"/>
      <c r="G84" s="5"/>
      <c r="H84" s="5"/>
      <c r="I84" s="5"/>
      <c r="J84" s="5"/>
      <c r="K84" s="6"/>
    </row>
    <row r="85" spans="2:11" ht="14.25" hidden="1" outlineLevel="2">
      <c r="B85" s="4"/>
      <c r="C85" s="1"/>
      <c r="D85" s="2"/>
      <c r="E85" s="2"/>
      <c r="F85" s="2"/>
      <c r="G85" s="2"/>
      <c r="H85" s="2"/>
      <c r="I85" s="2"/>
      <c r="J85" s="3"/>
      <c r="K85" s="6"/>
    </row>
    <row r="86" spans="2:11" ht="14.25" hidden="1" outlineLevel="2">
      <c r="B86" s="4"/>
      <c r="C86" s="4"/>
      <c r="D86" s="117">
        <f>MIN(F91,1-(1-D94)*(1-D95)*(1-D96))</f>
        <v>0</v>
      </c>
      <c r="E86" s="5" t="s">
        <v>100</v>
      </c>
      <c r="F86" s="5"/>
      <c r="G86" s="5"/>
      <c r="H86" s="5"/>
      <c r="I86" s="5"/>
      <c r="J86" s="6"/>
      <c r="K86" s="6"/>
    </row>
    <row r="87" spans="2:11" ht="14.25" hidden="1" outlineLevel="2">
      <c r="B87" s="4"/>
      <c r="C87" s="4"/>
      <c r="D87" s="5"/>
      <c r="E87" s="5"/>
      <c r="F87" s="5"/>
      <c r="G87" s="5"/>
      <c r="H87" s="5"/>
      <c r="I87" s="5"/>
      <c r="J87" s="6"/>
      <c r="K87" s="6"/>
    </row>
    <row r="88" spans="2:11" ht="14.25" hidden="1" outlineLevel="2">
      <c r="B88" s="4"/>
      <c r="C88" s="4"/>
      <c r="D88" s="415" t="s">
        <v>340</v>
      </c>
      <c r="E88" s="416"/>
      <c r="F88" s="416"/>
      <c r="G88" s="416"/>
      <c r="H88" s="416"/>
      <c r="I88" s="417"/>
      <c r="J88" s="6"/>
      <c r="K88" s="6"/>
    </row>
    <row r="89" spans="2:11" ht="14.25" hidden="1" outlineLevel="2">
      <c r="B89" s="4"/>
      <c r="C89" s="4"/>
      <c r="D89" s="418"/>
      <c r="E89" s="419"/>
      <c r="F89" s="419"/>
      <c r="G89" s="419"/>
      <c r="H89" s="419"/>
      <c r="I89" s="420"/>
      <c r="J89" s="6"/>
      <c r="K89" s="6"/>
    </row>
    <row r="90" spans="2:11" ht="14.25" hidden="1" outlineLevel="2">
      <c r="B90" s="4"/>
      <c r="C90" s="4"/>
      <c r="D90" s="113"/>
      <c r="E90" s="112"/>
      <c r="F90" s="112" t="s">
        <v>329</v>
      </c>
      <c r="G90" s="112"/>
      <c r="H90" s="112"/>
      <c r="I90" s="112"/>
      <c r="J90" s="6"/>
      <c r="K90" s="6"/>
    </row>
    <row r="91" spans="2:11" ht="14.25" hidden="1" outlineLevel="2">
      <c r="B91" s="4"/>
      <c r="C91" s="4"/>
      <c r="D91" s="113"/>
      <c r="E91" s="255"/>
      <c r="F91" s="254">
        <f>Assumptions!E242</f>
        <v>0.2</v>
      </c>
      <c r="G91" s="112"/>
      <c r="H91" s="261" t="s">
        <v>347</v>
      </c>
      <c r="I91" s="112"/>
      <c r="J91" s="6"/>
      <c r="K91" s="6"/>
    </row>
    <row r="92" spans="2:11" ht="14.25" hidden="1" outlineLevel="2">
      <c r="B92" s="4"/>
      <c r="C92" s="4"/>
      <c r="D92" s="112"/>
      <c r="E92" s="112"/>
      <c r="F92" s="112"/>
      <c r="G92" s="112"/>
      <c r="H92" s="112"/>
      <c r="I92" s="112"/>
      <c r="J92" s="6"/>
      <c r="K92" s="6"/>
    </row>
    <row r="93" spans="2:11" ht="14.25" hidden="1" outlineLevel="2">
      <c r="B93" s="4"/>
      <c r="C93" s="4"/>
      <c r="D93" s="113" t="s">
        <v>120</v>
      </c>
      <c r="E93" s="112"/>
      <c r="F93" s="112"/>
      <c r="G93" s="112"/>
      <c r="H93" s="112"/>
      <c r="I93" s="112"/>
      <c r="J93" s="6"/>
      <c r="K93" s="6"/>
    </row>
    <row r="94" spans="2:11" ht="14.25" hidden="1" outlineLevel="2">
      <c r="B94" s="4"/>
      <c r="C94" s="122" t="s">
        <v>125</v>
      </c>
      <c r="D94" s="116">
        <f>Parking!D7</f>
        <v>0</v>
      </c>
      <c r="E94" s="114" t="s">
        <v>72</v>
      </c>
      <c r="F94" s="112"/>
      <c r="G94" s="112"/>
      <c r="H94" s="112"/>
      <c r="I94" s="112"/>
      <c r="J94" s="6"/>
      <c r="K94" s="6"/>
    </row>
    <row r="95" spans="2:11" ht="14.25" hidden="1" outlineLevel="2">
      <c r="B95" s="4"/>
      <c r="C95" s="122" t="s">
        <v>126</v>
      </c>
      <c r="D95" s="115">
        <f>Parking!D20</f>
        <v>0</v>
      </c>
      <c r="E95" s="114" t="s">
        <v>104</v>
      </c>
      <c r="F95" s="112"/>
      <c r="G95" s="112"/>
      <c r="H95" s="112"/>
      <c r="I95" s="112"/>
      <c r="J95" s="6"/>
      <c r="K95" s="6"/>
    </row>
    <row r="96" spans="2:11" ht="14.25" hidden="1" outlineLevel="2">
      <c r="B96" s="4"/>
      <c r="C96" s="122" t="s">
        <v>127</v>
      </c>
      <c r="D96" s="116">
        <f>Parking!D36</f>
        <v>0</v>
      </c>
      <c r="E96" s="114" t="s">
        <v>79</v>
      </c>
      <c r="F96" s="112"/>
      <c r="G96" s="112"/>
      <c r="H96" s="112"/>
      <c r="I96" s="112"/>
      <c r="J96" s="6"/>
      <c r="K96" s="6"/>
    </row>
    <row r="97" spans="2:11" ht="15" hidden="1" outlineLevel="2" thickBot="1">
      <c r="B97" s="4"/>
      <c r="C97" s="4"/>
      <c r="D97" s="5"/>
      <c r="E97" s="5"/>
      <c r="F97" s="5"/>
      <c r="G97" s="5"/>
      <c r="H97" s="5"/>
      <c r="I97" s="5"/>
      <c r="J97" s="6"/>
      <c r="K97" s="6"/>
    </row>
    <row r="98" spans="2:11" ht="19.5" customHeight="1" hidden="1" outlineLevel="1" thickBot="1">
      <c r="B98" s="4"/>
      <c r="C98" s="385" t="s">
        <v>20</v>
      </c>
      <c r="D98" s="386"/>
      <c r="E98" s="386"/>
      <c r="F98" s="386"/>
      <c r="G98" s="386"/>
      <c r="H98" s="386"/>
      <c r="I98" s="386"/>
      <c r="J98" s="387"/>
      <c r="K98" s="6"/>
    </row>
    <row r="99" spans="2:11" ht="15" hidden="1" outlineLevel="1" thickBot="1">
      <c r="B99" s="4"/>
      <c r="C99" s="5"/>
      <c r="D99" s="5"/>
      <c r="E99" s="5"/>
      <c r="F99" s="5"/>
      <c r="G99" s="5"/>
      <c r="H99" s="5"/>
      <c r="I99" s="5"/>
      <c r="J99" s="5"/>
      <c r="K99" s="6"/>
    </row>
    <row r="100" spans="2:11" ht="14.25" hidden="1" outlineLevel="2">
      <c r="B100" s="4"/>
      <c r="C100" s="1"/>
      <c r="D100" s="2"/>
      <c r="E100" s="2"/>
      <c r="F100" s="2"/>
      <c r="G100" s="2"/>
      <c r="H100" s="2"/>
      <c r="I100" s="2"/>
      <c r="J100" s="3"/>
      <c r="K100" s="6"/>
    </row>
    <row r="101" spans="2:11" ht="14.25" hidden="1" outlineLevel="2">
      <c r="B101" s="4"/>
      <c r="C101" s="4"/>
      <c r="D101" s="182">
        <f>MIN(F106,1-(1-D109)*(1-D110)*(1-D111))</f>
        <v>0</v>
      </c>
      <c r="E101" s="5" t="s">
        <v>100</v>
      </c>
      <c r="F101" s="5"/>
      <c r="G101" s="5"/>
      <c r="H101" s="5"/>
      <c r="I101" s="5"/>
      <c r="J101" s="6"/>
      <c r="K101" s="6"/>
    </row>
    <row r="102" spans="2:11" ht="14.25" hidden="1" outlineLevel="2">
      <c r="B102" s="4"/>
      <c r="C102" s="4"/>
      <c r="D102" s="5"/>
      <c r="E102" s="5"/>
      <c r="F102" s="5"/>
      <c r="G102" s="5"/>
      <c r="H102" s="5"/>
      <c r="I102" s="5"/>
      <c r="J102" s="6"/>
      <c r="K102" s="6"/>
    </row>
    <row r="103" spans="2:11" ht="14.25" hidden="1" outlineLevel="2">
      <c r="B103" s="4"/>
      <c r="C103" s="4"/>
      <c r="D103" s="415" t="s">
        <v>340</v>
      </c>
      <c r="E103" s="416"/>
      <c r="F103" s="416"/>
      <c r="G103" s="416"/>
      <c r="H103" s="416"/>
      <c r="I103" s="417"/>
      <c r="J103" s="6"/>
      <c r="K103" s="6"/>
    </row>
    <row r="104" spans="2:11" ht="14.25" hidden="1" outlineLevel="2">
      <c r="B104" s="4"/>
      <c r="C104" s="4"/>
      <c r="D104" s="418"/>
      <c r="E104" s="419"/>
      <c r="F104" s="419"/>
      <c r="G104" s="419"/>
      <c r="H104" s="419"/>
      <c r="I104" s="420"/>
      <c r="J104" s="6"/>
      <c r="K104" s="6"/>
    </row>
    <row r="105" spans="2:11" ht="14.25" hidden="1" outlineLevel="2">
      <c r="B105" s="4"/>
      <c r="C105" s="4"/>
      <c r="D105" s="112"/>
      <c r="E105" s="112"/>
      <c r="F105" s="112" t="s">
        <v>329</v>
      </c>
      <c r="G105" s="112"/>
      <c r="H105" s="112"/>
      <c r="I105" s="112"/>
      <c r="J105" s="6"/>
      <c r="K105" s="6"/>
    </row>
    <row r="106" spans="2:11" ht="14.25" hidden="1" outlineLevel="2">
      <c r="B106" s="4"/>
      <c r="C106" s="4"/>
      <c r="D106" s="112"/>
      <c r="E106" s="112"/>
      <c r="F106" s="254">
        <f>Assumptions!E248</f>
        <v>0.1</v>
      </c>
      <c r="G106" s="112"/>
      <c r="H106" s="261" t="s">
        <v>347</v>
      </c>
      <c r="I106" s="112"/>
      <c r="J106" s="6"/>
      <c r="K106" s="6"/>
    </row>
    <row r="107" spans="2:11" ht="14.25" hidden="1" outlineLevel="2">
      <c r="B107" s="4"/>
      <c r="C107" s="4"/>
      <c r="D107" s="112"/>
      <c r="E107" s="112"/>
      <c r="F107" s="112"/>
      <c r="G107" s="112"/>
      <c r="H107" s="112"/>
      <c r="I107" s="112"/>
      <c r="J107" s="6"/>
      <c r="K107" s="6"/>
    </row>
    <row r="108" spans="2:11" ht="14.25" hidden="1" outlineLevel="2">
      <c r="B108" s="4"/>
      <c r="C108" s="4"/>
      <c r="D108" s="113" t="s">
        <v>120</v>
      </c>
      <c r="E108" s="112"/>
      <c r="F108" s="112"/>
      <c r="G108" s="112"/>
      <c r="H108" s="112"/>
      <c r="I108" s="112"/>
      <c r="J108" s="6"/>
      <c r="K108" s="6"/>
    </row>
    <row r="109" spans="2:11" ht="14.25" hidden="1" outlineLevel="2">
      <c r="B109" s="4"/>
      <c r="C109" s="122" t="s">
        <v>125</v>
      </c>
      <c r="D109" s="115">
        <f>Transit!D7</f>
        <v>0</v>
      </c>
      <c r="E109" s="137" t="s">
        <v>73</v>
      </c>
      <c r="F109" s="112"/>
      <c r="G109" s="112"/>
      <c r="H109" s="112"/>
      <c r="I109" s="112"/>
      <c r="J109" s="6"/>
      <c r="K109" s="6"/>
    </row>
    <row r="110" spans="2:11" ht="14.25" hidden="1" outlineLevel="2">
      <c r="B110" s="4"/>
      <c r="C110" s="122" t="s">
        <v>126</v>
      </c>
      <c r="D110" s="115">
        <f>Transit!D29</f>
        <v>0</v>
      </c>
      <c r="E110" s="137" t="s">
        <v>76</v>
      </c>
      <c r="F110" s="112"/>
      <c r="G110" s="112"/>
      <c r="H110" s="112"/>
      <c r="I110" s="112"/>
      <c r="J110" s="6"/>
      <c r="K110" s="6"/>
    </row>
    <row r="111" spans="2:11" ht="14.25" hidden="1" outlineLevel="2">
      <c r="B111" s="4"/>
      <c r="C111" s="122" t="s">
        <v>127</v>
      </c>
      <c r="D111" s="115">
        <f>Transit!D58</f>
        <v>0</v>
      </c>
      <c r="E111" s="137" t="s">
        <v>80</v>
      </c>
      <c r="F111" s="112"/>
      <c r="G111" s="112"/>
      <c r="H111" s="112"/>
      <c r="I111" s="112"/>
      <c r="J111" s="6"/>
      <c r="K111" s="6"/>
    </row>
    <row r="112" spans="2:11" ht="15" hidden="1" outlineLevel="2" thickBot="1">
      <c r="B112" s="4"/>
      <c r="C112" s="4"/>
      <c r="D112" s="5"/>
      <c r="E112" s="5"/>
      <c r="F112" s="5"/>
      <c r="G112" s="5"/>
      <c r="H112" s="5"/>
      <c r="I112" s="5"/>
      <c r="J112" s="6"/>
      <c r="K112" s="6"/>
    </row>
    <row r="113" spans="2:11" ht="19.5" customHeight="1" hidden="1" outlineLevel="1" thickBot="1">
      <c r="B113" s="4"/>
      <c r="C113" s="376" t="s">
        <v>21</v>
      </c>
      <c r="D113" s="377"/>
      <c r="E113" s="377"/>
      <c r="F113" s="377"/>
      <c r="G113" s="377"/>
      <c r="H113" s="377"/>
      <c r="I113" s="377"/>
      <c r="J113" s="378"/>
      <c r="K113" s="6"/>
    </row>
    <row r="114" spans="2:11" ht="15" hidden="1" outlineLevel="1" thickBot="1">
      <c r="B114" s="4"/>
      <c r="C114" s="5"/>
      <c r="D114" s="5"/>
      <c r="E114" s="5"/>
      <c r="F114" s="5"/>
      <c r="G114" s="5"/>
      <c r="H114" s="5"/>
      <c r="I114" s="5"/>
      <c r="J114" s="5"/>
      <c r="K114" s="6"/>
    </row>
    <row r="115" spans="2:11" ht="14.25" hidden="1" outlineLevel="2">
      <c r="B115" s="4"/>
      <c r="C115" s="1"/>
      <c r="D115" s="2"/>
      <c r="E115" s="2"/>
      <c r="F115" s="2"/>
      <c r="G115" s="2"/>
      <c r="H115" s="2"/>
      <c r="I115" s="2"/>
      <c r="J115" s="3"/>
      <c r="K115" s="6"/>
    </row>
    <row r="116" spans="2:11" ht="30.75" customHeight="1" hidden="1" outlineLevel="2">
      <c r="B116" s="4"/>
      <c r="C116" s="4"/>
      <c r="D116" s="224">
        <f>MIN(F121,D128*F123+D154*F124)</f>
        <v>0</v>
      </c>
      <c r="E116" s="438" t="s">
        <v>407</v>
      </c>
      <c r="F116" s="439"/>
      <c r="G116" s="251">
        <f>D116*INPUT!C8</f>
        <v>0</v>
      </c>
      <c r="H116" s="438" t="s">
        <v>408</v>
      </c>
      <c r="I116" s="439"/>
      <c r="J116" s="6"/>
      <c r="K116" s="6"/>
    </row>
    <row r="117" spans="2:11" ht="14.25" hidden="1" outlineLevel="2">
      <c r="B117" s="4"/>
      <c r="C117" s="4"/>
      <c r="D117" s="227"/>
      <c r="E117" s="429" t="s">
        <v>343</v>
      </c>
      <c r="F117" s="430"/>
      <c r="G117" s="430"/>
      <c r="H117" s="430"/>
      <c r="I117" s="431"/>
      <c r="J117" s="6"/>
      <c r="K117" s="6"/>
    </row>
    <row r="118" spans="2:11" ht="14.25" hidden="1" outlineLevel="2">
      <c r="B118" s="4"/>
      <c r="C118" s="4"/>
      <c r="D118" s="227"/>
      <c r="E118" s="432"/>
      <c r="F118" s="433"/>
      <c r="G118" s="433"/>
      <c r="H118" s="433"/>
      <c r="I118" s="434"/>
      <c r="J118" s="6"/>
      <c r="K118" s="6"/>
    </row>
    <row r="119" spans="2:11" ht="14.25" hidden="1" outlineLevel="2">
      <c r="B119" s="4"/>
      <c r="C119" s="4"/>
      <c r="D119" s="227"/>
      <c r="E119" s="435"/>
      <c r="F119" s="436"/>
      <c r="G119" s="436"/>
      <c r="H119" s="436"/>
      <c r="I119" s="437"/>
      <c r="J119" s="6"/>
      <c r="K119" s="6"/>
    </row>
    <row r="120" spans="2:11" ht="14.25" hidden="1" outlineLevel="2">
      <c r="B120" s="4"/>
      <c r="C120" s="4"/>
      <c r="D120" s="227"/>
      <c r="E120" s="239"/>
      <c r="F120" s="112" t="s">
        <v>329</v>
      </c>
      <c r="G120" s="239"/>
      <c r="H120" s="239"/>
      <c r="I120" s="239"/>
      <c r="J120" s="6"/>
      <c r="K120" s="6"/>
    </row>
    <row r="121" spans="2:11" ht="14.25" hidden="1" outlineLevel="2">
      <c r="B121" s="4"/>
      <c r="C121" s="4"/>
      <c r="D121" s="227"/>
      <c r="E121" s="239"/>
      <c r="F121" s="254">
        <f>Assumptions!E254</f>
        <v>0.15</v>
      </c>
      <c r="G121" s="239"/>
      <c r="H121" s="261" t="s">
        <v>347</v>
      </c>
      <c r="I121" s="239"/>
      <c r="J121" s="6"/>
      <c r="K121" s="6"/>
    </row>
    <row r="122" spans="2:11" ht="14.25" hidden="1" outlineLevel="2">
      <c r="B122" s="4"/>
      <c r="C122" s="4"/>
      <c r="D122" s="227"/>
      <c r="E122" s="239"/>
      <c r="F122" s="176" t="s">
        <v>298</v>
      </c>
      <c r="G122" s="239"/>
      <c r="H122" s="239"/>
      <c r="I122" s="239"/>
      <c r="J122" s="6"/>
      <c r="K122" s="6"/>
    </row>
    <row r="123" spans="2:11" ht="14.25" hidden="1" outlineLevel="2">
      <c r="B123" s="4"/>
      <c r="C123" s="4"/>
      <c r="D123" s="13"/>
      <c r="E123" s="131" t="s">
        <v>299</v>
      </c>
      <c r="F123" s="234">
        <f>Assumptions!E258</f>
        <v>0.22</v>
      </c>
      <c r="G123" s="5"/>
      <c r="H123" s="261" t="s">
        <v>347</v>
      </c>
      <c r="I123" s="5"/>
      <c r="J123" s="6"/>
      <c r="K123" s="6"/>
    </row>
    <row r="124" spans="2:11" ht="14.25" hidden="1" outlineLevel="2">
      <c r="B124" s="4"/>
      <c r="C124" s="4"/>
      <c r="E124" s="131" t="s">
        <v>300</v>
      </c>
      <c r="F124" s="230">
        <f>Assumptions!E259</f>
        <v>0.121</v>
      </c>
      <c r="G124" s="5"/>
      <c r="H124" s="261" t="s">
        <v>347</v>
      </c>
      <c r="I124" s="5"/>
      <c r="J124" s="221"/>
      <c r="K124" s="6"/>
    </row>
    <row r="125" spans="2:11" ht="14.25" hidden="1" outlineLevel="2">
      <c r="B125" s="4"/>
      <c r="C125" s="4"/>
      <c r="G125" s="5"/>
      <c r="I125" s="5"/>
      <c r="J125" s="222"/>
      <c r="K125" s="6"/>
    </row>
    <row r="126" spans="2:11" ht="14.25" hidden="1" outlineLevel="2">
      <c r="B126" s="4"/>
      <c r="C126" s="4"/>
      <c r="D126" s="5"/>
      <c r="E126" s="5"/>
      <c r="F126" s="5"/>
      <c r="G126" s="5"/>
      <c r="H126" s="5"/>
      <c r="I126" s="5"/>
      <c r="J126" s="6"/>
      <c r="K126" s="6"/>
    </row>
    <row r="127" spans="2:11" ht="14.25" hidden="1" outlineLevel="2">
      <c r="B127" s="4"/>
      <c r="C127" s="4"/>
      <c r="D127" s="350" t="s">
        <v>455</v>
      </c>
      <c r="E127" s="5"/>
      <c r="F127" s="5"/>
      <c r="G127" s="5"/>
      <c r="H127" s="5"/>
      <c r="I127" s="5"/>
      <c r="J127" s="6"/>
      <c r="K127" s="6"/>
    </row>
    <row r="128" spans="2:11" ht="14.25" hidden="1" outlineLevel="2">
      <c r="B128" s="4"/>
      <c r="C128" s="4"/>
      <c r="D128" s="219">
        <f>IF(INPUT!D45="yes",IF(INPUT!D46&lt;'Maximum Calcs'!E132,INPUT!D46/'Maximum Calcs'!E132*'Maximum Calcs'!D135,'Maximum Calcs'!D135),'Maximum Calcs'!D135)</f>
        <v>0</v>
      </c>
      <c r="E128" s="5" t="s">
        <v>456</v>
      </c>
      <c r="F128" s="5"/>
      <c r="G128" s="5"/>
      <c r="H128" s="5"/>
      <c r="I128" s="5"/>
      <c r="J128" s="6"/>
      <c r="K128" s="6"/>
    </row>
    <row r="129" spans="2:11" ht="3" customHeight="1" hidden="1" outlineLevel="2">
      <c r="B129" s="4"/>
      <c r="C129" s="4"/>
      <c r="D129" s="220"/>
      <c r="E129" s="5"/>
      <c r="F129" s="5"/>
      <c r="G129" s="5"/>
      <c r="H129" s="5"/>
      <c r="I129" s="5"/>
      <c r="J129" s="6"/>
      <c r="K129" s="6"/>
    </row>
    <row r="130" spans="2:11" ht="46.5" customHeight="1" hidden="1" outlineLevel="2">
      <c r="B130" s="4"/>
      <c r="C130" s="4"/>
      <c r="D130" s="421" t="s">
        <v>457</v>
      </c>
      <c r="E130" s="422"/>
      <c r="F130" s="422"/>
      <c r="G130" s="422"/>
      <c r="H130" s="422"/>
      <c r="I130" s="423"/>
      <c r="J130" s="6"/>
      <c r="K130" s="6"/>
    </row>
    <row r="131" spans="2:11" ht="3" customHeight="1" hidden="1" outlineLevel="2">
      <c r="B131" s="4"/>
      <c r="C131" s="4"/>
      <c r="D131" s="5"/>
      <c r="E131" s="5"/>
      <c r="F131" s="5"/>
      <c r="G131" s="5"/>
      <c r="H131" s="5"/>
      <c r="I131" s="5"/>
      <c r="J131" s="6"/>
      <c r="K131" s="6"/>
    </row>
    <row r="132" spans="2:11" ht="14.25" hidden="1" outlineLevel="2">
      <c r="B132" s="4"/>
      <c r="C132" s="4"/>
      <c r="D132" s="5"/>
      <c r="E132" s="236">
        <v>1</v>
      </c>
      <c r="F132" s="5" t="s">
        <v>450</v>
      </c>
      <c r="G132" s="5"/>
      <c r="H132" s="5"/>
      <c r="I132" s="5"/>
      <c r="J132" s="6"/>
      <c r="K132" s="6"/>
    </row>
    <row r="133" spans="2:11" ht="14.25" hidden="1" outlineLevel="2">
      <c r="B133" s="4"/>
      <c r="C133" s="4"/>
      <c r="D133" s="5"/>
      <c r="E133" s="5"/>
      <c r="F133" s="5"/>
      <c r="G133" s="5"/>
      <c r="H133" s="5"/>
      <c r="I133" s="5"/>
      <c r="J133" s="6"/>
      <c r="K133" s="6"/>
    </row>
    <row r="134" spans="2:11" ht="14.25" hidden="1" outlineLevel="2">
      <c r="B134" s="4"/>
      <c r="C134" s="4"/>
      <c r="D134" s="350" t="s">
        <v>454</v>
      </c>
      <c r="E134" s="5"/>
      <c r="F134" s="5"/>
      <c r="G134" s="5"/>
      <c r="H134" s="5"/>
      <c r="I134" s="5"/>
      <c r="J134" s="6"/>
      <c r="K134" s="6"/>
    </row>
    <row r="135" spans="2:11" ht="14.25" hidden="1" outlineLevel="2">
      <c r="B135" s="4"/>
      <c r="C135" s="4"/>
      <c r="D135" s="219">
        <f>MIN(F141,1-(1-MAX(D143,D144))*(1-D145)*(1-D146)*(1-D147)*(1-D148)*(1-D149)*(1-D150)*(1-D151))</f>
        <v>0</v>
      </c>
      <c r="E135" s="5" t="s">
        <v>406</v>
      </c>
      <c r="F135" s="5"/>
      <c r="G135" s="5"/>
      <c r="H135" s="5"/>
      <c r="I135" s="5"/>
      <c r="J135" s="6"/>
      <c r="K135" s="6"/>
    </row>
    <row r="136" spans="2:11" ht="2.25" customHeight="1" hidden="1" outlineLevel="2">
      <c r="B136" s="4"/>
      <c r="C136" s="4"/>
      <c r="D136" s="220"/>
      <c r="E136" s="5"/>
      <c r="F136" s="5"/>
      <c r="G136" s="5"/>
      <c r="H136" s="5"/>
      <c r="I136" s="5"/>
      <c r="J136" s="6"/>
      <c r="K136" s="6"/>
    </row>
    <row r="137" spans="2:11" ht="14.25" hidden="1" outlineLevel="2">
      <c r="B137" s="4"/>
      <c r="C137" s="4"/>
      <c r="D137" s="415" t="s">
        <v>344</v>
      </c>
      <c r="E137" s="424"/>
      <c r="F137" s="424"/>
      <c r="G137" s="424"/>
      <c r="H137" s="424"/>
      <c r="I137" s="425"/>
      <c r="J137" s="6"/>
      <c r="K137" s="6"/>
    </row>
    <row r="138" spans="2:11" ht="14.25" hidden="1" outlineLevel="2">
      <c r="B138" s="4"/>
      <c r="C138" s="4"/>
      <c r="D138" s="426"/>
      <c r="E138" s="427"/>
      <c r="F138" s="427"/>
      <c r="G138" s="427"/>
      <c r="H138" s="427"/>
      <c r="I138" s="428"/>
      <c r="J138" s="6"/>
      <c r="K138" s="6"/>
    </row>
    <row r="139" spans="2:11" ht="3" customHeight="1" hidden="1" outlineLevel="2">
      <c r="B139" s="4"/>
      <c r="C139" s="4"/>
      <c r="D139" s="112"/>
      <c r="E139" s="112"/>
      <c r="F139" s="112"/>
      <c r="G139" s="112"/>
      <c r="H139" s="112"/>
      <c r="I139" s="112"/>
      <c r="J139" s="6"/>
      <c r="K139" s="6"/>
    </row>
    <row r="140" spans="2:11" ht="14.25" hidden="1" outlineLevel="2">
      <c r="B140" s="4"/>
      <c r="C140" s="4"/>
      <c r="E140" s="239"/>
      <c r="F140" s="112" t="s">
        <v>329</v>
      </c>
      <c r="G140" s="112"/>
      <c r="H140" s="112"/>
      <c r="I140" s="112"/>
      <c r="J140" s="6"/>
      <c r="K140" s="6"/>
    </row>
    <row r="141" spans="2:11" ht="14.25" hidden="1" outlineLevel="2">
      <c r="B141" s="4"/>
      <c r="C141" s="4"/>
      <c r="E141" s="239"/>
      <c r="F141" s="254">
        <f>Assumptions!E255</f>
        <v>0.25</v>
      </c>
      <c r="G141" s="112"/>
      <c r="H141" s="261" t="s">
        <v>347</v>
      </c>
      <c r="I141" s="112"/>
      <c r="J141" s="6"/>
      <c r="K141" s="6"/>
    </row>
    <row r="142" spans="2:11" ht="14.25" hidden="1" outlineLevel="2">
      <c r="B142" s="4"/>
      <c r="C142" s="4"/>
      <c r="D142" s="113" t="s">
        <v>120</v>
      </c>
      <c r="E142" s="112"/>
      <c r="F142" s="112"/>
      <c r="G142" s="112"/>
      <c r="H142" s="112"/>
      <c r="I142" s="112"/>
      <c r="J142" s="6"/>
      <c r="K142" s="6"/>
    </row>
    <row r="143" spans="2:11" ht="14.25" hidden="1" outlineLevel="2">
      <c r="B143" s="4"/>
      <c r="C143" s="122" t="s">
        <v>125</v>
      </c>
      <c r="D143" s="115">
        <f>CTR!D7</f>
        <v>0</v>
      </c>
      <c r="E143" s="137" t="s">
        <v>238</v>
      </c>
      <c r="F143" s="112"/>
      <c r="G143" s="112"/>
      <c r="H143" s="112"/>
      <c r="I143" s="112"/>
      <c r="J143" s="6"/>
      <c r="K143" s="6"/>
    </row>
    <row r="144" spans="2:11" ht="14.25" hidden="1" outlineLevel="2">
      <c r="B144" s="4"/>
      <c r="C144" s="122" t="s">
        <v>126</v>
      </c>
      <c r="D144" s="115">
        <f>CTR!D22</f>
        <v>0</v>
      </c>
      <c r="E144" s="137" t="s">
        <v>239</v>
      </c>
      <c r="F144" s="112"/>
      <c r="G144" s="112"/>
      <c r="H144" s="112"/>
      <c r="I144" s="112"/>
      <c r="J144" s="6"/>
      <c r="K144" s="6"/>
    </row>
    <row r="145" spans="2:11" ht="14.25" hidden="1" outlineLevel="2">
      <c r="B145" s="4"/>
      <c r="C145" s="122" t="s">
        <v>127</v>
      </c>
      <c r="D145" s="115">
        <f>CTR!D41</f>
        <v>0</v>
      </c>
      <c r="E145" s="137" t="s">
        <v>77</v>
      </c>
      <c r="F145" s="112"/>
      <c r="G145" s="112"/>
      <c r="H145" s="112"/>
      <c r="I145" s="112"/>
      <c r="J145" s="6"/>
      <c r="K145" s="6"/>
    </row>
    <row r="146" spans="2:11" ht="14.25" hidden="1" outlineLevel="2">
      <c r="B146" s="4"/>
      <c r="C146" s="122" t="s">
        <v>179</v>
      </c>
      <c r="D146" s="115">
        <f>CTR!D64</f>
        <v>0</v>
      </c>
      <c r="E146" s="137" t="s">
        <v>81</v>
      </c>
      <c r="F146" s="112"/>
      <c r="G146" s="112"/>
      <c r="H146" s="112"/>
      <c r="I146" s="112"/>
      <c r="J146" s="6"/>
      <c r="K146" s="6"/>
    </row>
    <row r="147" spans="2:11" ht="14.25" hidden="1" outlineLevel="2">
      <c r="B147" s="4"/>
      <c r="C147" s="122" t="s">
        <v>180</v>
      </c>
      <c r="D147" s="115">
        <f>CTR!D83</f>
        <v>0</v>
      </c>
      <c r="E147" s="137" t="s">
        <v>84</v>
      </c>
      <c r="F147" s="112"/>
      <c r="G147" s="112"/>
      <c r="H147" s="112"/>
      <c r="I147" s="112"/>
      <c r="J147" s="6"/>
      <c r="K147" s="6"/>
    </row>
    <row r="148" spans="2:11" ht="14.25" hidden="1" outlineLevel="2">
      <c r="B148" s="4"/>
      <c r="C148" s="122" t="s">
        <v>181</v>
      </c>
      <c r="D148" s="115">
        <f>CTR!D105</f>
        <v>0</v>
      </c>
      <c r="E148" s="137" t="s">
        <v>85</v>
      </c>
      <c r="F148" s="112"/>
      <c r="G148" s="112"/>
      <c r="H148" s="112"/>
      <c r="I148" s="112"/>
      <c r="J148" s="6"/>
      <c r="K148" s="6"/>
    </row>
    <row r="149" spans="2:11" ht="14.25" hidden="1" outlineLevel="2">
      <c r="B149" s="4"/>
      <c r="C149" s="122" t="s">
        <v>293</v>
      </c>
      <c r="D149" s="115">
        <f>CTR!D125</f>
        <v>0</v>
      </c>
      <c r="E149" s="137" t="s">
        <v>86</v>
      </c>
      <c r="F149" s="112"/>
      <c r="G149" s="112"/>
      <c r="H149" s="112"/>
      <c r="I149" s="112"/>
      <c r="J149" s="6"/>
      <c r="K149" s="6"/>
    </row>
    <row r="150" spans="2:11" ht="14.25" hidden="1" outlineLevel="2">
      <c r="B150" s="4"/>
      <c r="C150" s="122" t="s">
        <v>294</v>
      </c>
      <c r="D150" s="115">
        <f>CTR!D139</f>
        <v>0</v>
      </c>
      <c r="E150" s="137" t="s">
        <v>87</v>
      </c>
      <c r="F150" s="112"/>
      <c r="G150" s="112"/>
      <c r="H150" s="112"/>
      <c r="I150" s="112"/>
      <c r="J150" s="6"/>
      <c r="K150" s="6"/>
    </row>
    <row r="151" spans="2:11" ht="14.25" hidden="1" outlineLevel="2">
      <c r="B151" s="4"/>
      <c r="C151" s="122" t="s">
        <v>295</v>
      </c>
      <c r="D151" s="115">
        <f>CTR!D159</f>
        <v>0</v>
      </c>
      <c r="E151" s="137" t="s">
        <v>88</v>
      </c>
      <c r="F151" s="112"/>
      <c r="G151" s="112"/>
      <c r="H151" s="112"/>
      <c r="I151" s="112"/>
      <c r="J151" s="6"/>
      <c r="K151" s="6"/>
    </row>
    <row r="152" spans="2:11" ht="14.25" hidden="1" outlineLevel="2">
      <c r="B152" s="4"/>
      <c r="C152" s="4"/>
      <c r="D152" s="5"/>
      <c r="E152" s="5"/>
      <c r="F152" s="5"/>
      <c r="G152" s="5"/>
      <c r="H152" s="5"/>
      <c r="I152" s="5"/>
      <c r="J152" s="6"/>
      <c r="K152" s="6"/>
    </row>
    <row r="153" spans="2:11" ht="14.25" hidden="1" outlineLevel="2">
      <c r="B153" s="4"/>
      <c r="C153" s="4"/>
      <c r="D153" s="350" t="s">
        <v>453</v>
      </c>
      <c r="E153" s="5"/>
      <c r="F153" s="5"/>
      <c r="G153" s="5"/>
      <c r="H153" s="5"/>
      <c r="I153" s="5"/>
      <c r="J153" s="6"/>
      <c r="K153" s="6"/>
    </row>
    <row r="154" spans="2:11" ht="14.25" hidden="1" outlineLevel="2">
      <c r="B154" s="4"/>
      <c r="C154" s="4"/>
      <c r="D154" s="219">
        <f>MIN(F160,1-(1-D162)*(1-D163))</f>
        <v>0</v>
      </c>
      <c r="E154" s="5" t="s">
        <v>409</v>
      </c>
      <c r="F154" s="5"/>
      <c r="G154" s="5"/>
      <c r="H154" s="5"/>
      <c r="I154" s="5"/>
      <c r="J154" s="6"/>
      <c r="K154" s="6"/>
    </row>
    <row r="155" spans="2:11" ht="3" customHeight="1" hidden="1" outlineLevel="2">
      <c r="B155" s="4"/>
      <c r="C155" s="4"/>
      <c r="D155" s="5"/>
      <c r="E155" s="5"/>
      <c r="F155" s="5"/>
      <c r="G155" s="5"/>
      <c r="H155" s="5"/>
      <c r="I155" s="5"/>
      <c r="J155" s="6"/>
      <c r="K155" s="6"/>
    </row>
    <row r="156" spans="2:11" ht="14.25" hidden="1" outlineLevel="2">
      <c r="B156" s="4"/>
      <c r="C156" s="4"/>
      <c r="D156" s="415" t="s">
        <v>345</v>
      </c>
      <c r="E156" s="416"/>
      <c r="F156" s="416"/>
      <c r="G156" s="416"/>
      <c r="H156" s="416"/>
      <c r="I156" s="417"/>
      <c r="J156" s="6"/>
      <c r="K156" s="6"/>
    </row>
    <row r="157" spans="2:11" ht="14.25" hidden="1" outlineLevel="2">
      <c r="B157" s="4"/>
      <c r="C157" s="4"/>
      <c r="D157" s="418"/>
      <c r="E157" s="419"/>
      <c r="F157" s="419"/>
      <c r="G157" s="419"/>
      <c r="H157" s="419"/>
      <c r="I157" s="420"/>
      <c r="J157" s="6"/>
      <c r="K157" s="6"/>
    </row>
    <row r="158" spans="2:11" ht="3.75" customHeight="1" hidden="1" outlineLevel="2">
      <c r="B158" s="4"/>
      <c r="C158" s="4"/>
      <c r="D158" s="112"/>
      <c r="E158" s="112"/>
      <c r="F158" s="112"/>
      <c r="G158" s="112"/>
      <c r="H158" s="112"/>
      <c r="I158" s="112"/>
      <c r="J158" s="6"/>
      <c r="K158" s="6"/>
    </row>
    <row r="159" spans="2:11" ht="14.25" hidden="1" outlineLevel="2">
      <c r="B159" s="4"/>
      <c r="C159" s="4"/>
      <c r="E159" s="239"/>
      <c r="F159" s="112" t="s">
        <v>329</v>
      </c>
      <c r="G159" s="112"/>
      <c r="H159" s="112"/>
      <c r="I159" s="112"/>
      <c r="J159" s="6"/>
      <c r="K159" s="6"/>
    </row>
    <row r="160" spans="2:11" ht="14.25" hidden="1" outlineLevel="2">
      <c r="B160" s="4"/>
      <c r="C160" s="4"/>
      <c r="E160" s="239"/>
      <c r="F160" s="254">
        <f>Assumptions!E256</f>
        <v>0.65</v>
      </c>
      <c r="G160" s="112"/>
      <c r="H160" s="261" t="s">
        <v>347</v>
      </c>
      <c r="I160" s="112"/>
      <c r="J160" s="6"/>
      <c r="K160" s="6"/>
    </row>
    <row r="161" spans="2:11" ht="14.25" hidden="1" outlineLevel="2">
      <c r="B161" s="4"/>
      <c r="C161" s="4"/>
      <c r="D161" s="113" t="s">
        <v>120</v>
      </c>
      <c r="E161" s="112"/>
      <c r="F161" s="112"/>
      <c r="G161" s="112"/>
      <c r="H161" s="112"/>
      <c r="I161" s="112"/>
      <c r="J161" s="6"/>
      <c r="K161" s="6"/>
    </row>
    <row r="162" spans="2:11" ht="14.25" hidden="1" outlineLevel="2">
      <c r="B162" s="4"/>
      <c r="C162" s="122" t="s">
        <v>296</v>
      </c>
      <c r="D162" s="115">
        <f>CTR!D178</f>
        <v>0</v>
      </c>
      <c r="E162" s="137" t="s">
        <v>89</v>
      </c>
      <c r="F162" s="112"/>
      <c r="G162" s="112"/>
      <c r="H162" s="112"/>
      <c r="I162" s="112"/>
      <c r="J162" s="6"/>
      <c r="K162" s="6"/>
    </row>
    <row r="163" spans="2:11" ht="14.25" hidden="1" outlineLevel="2">
      <c r="B163" s="4"/>
      <c r="C163" s="122" t="s">
        <v>297</v>
      </c>
      <c r="D163" s="115">
        <f>CTR!D196</f>
        <v>0</v>
      </c>
      <c r="E163" s="137" t="s">
        <v>90</v>
      </c>
      <c r="F163" s="112"/>
      <c r="G163" s="112"/>
      <c r="H163" s="112"/>
      <c r="I163" s="112"/>
      <c r="J163" s="6"/>
      <c r="K163" s="6"/>
    </row>
    <row r="164" spans="2:11" ht="15" hidden="1" outlineLevel="2" thickBot="1">
      <c r="B164" s="4"/>
      <c r="C164" s="69"/>
      <c r="D164" s="70"/>
      <c r="E164" s="70"/>
      <c r="F164" s="70"/>
      <c r="G164" s="70"/>
      <c r="H164" s="70"/>
      <c r="I164" s="70"/>
      <c r="J164" s="71"/>
      <c r="K164" s="6"/>
    </row>
    <row r="165" spans="2:11" ht="19.5" customHeight="1" hidden="1" outlineLevel="1" thickBot="1">
      <c r="B165" s="4"/>
      <c r="C165" s="366" t="s">
        <v>22</v>
      </c>
      <c r="D165" s="367"/>
      <c r="E165" s="367"/>
      <c r="F165" s="367"/>
      <c r="G165" s="367"/>
      <c r="H165" s="367"/>
      <c r="I165" s="367"/>
      <c r="J165" s="368"/>
      <c r="K165" s="6"/>
    </row>
    <row r="166" spans="2:11" ht="15" hidden="1" outlineLevel="1" thickBot="1">
      <c r="B166" s="69"/>
      <c r="C166" s="70"/>
      <c r="D166" s="70"/>
      <c r="E166" s="70"/>
      <c r="F166" s="70"/>
      <c r="G166" s="70"/>
      <c r="H166" s="70"/>
      <c r="I166" s="70"/>
      <c r="J166" s="70"/>
      <c r="K166" s="71"/>
    </row>
    <row r="167" spans="2:11" ht="18.75" collapsed="1" thickBot="1">
      <c r="B167" s="412" t="s">
        <v>93</v>
      </c>
      <c r="C167" s="413"/>
      <c r="D167" s="413"/>
      <c r="E167" s="413"/>
      <c r="F167" s="413"/>
      <c r="G167" s="413"/>
      <c r="H167" s="413"/>
      <c r="I167" s="413"/>
      <c r="J167" s="413"/>
      <c r="K167" s="414"/>
    </row>
  </sheetData>
  <sheetProtection password="85AF" sheet="1" objects="1" scenarios="1"/>
  <mergeCells count="25">
    <mergeCell ref="B4:K4"/>
    <mergeCell ref="B22:K22"/>
    <mergeCell ref="B43:K43"/>
    <mergeCell ref="C83:J83"/>
    <mergeCell ref="D26:E26"/>
    <mergeCell ref="I26:J26"/>
    <mergeCell ref="D7:E7"/>
    <mergeCell ref="I7:J7"/>
    <mergeCell ref="D49:I50"/>
    <mergeCell ref="C165:J165"/>
    <mergeCell ref="D71:I72"/>
    <mergeCell ref="D156:I157"/>
    <mergeCell ref="E117:I119"/>
    <mergeCell ref="E116:F116"/>
    <mergeCell ref="H116:I116"/>
    <mergeCell ref="B167:K167"/>
    <mergeCell ref="C9:J10"/>
    <mergeCell ref="C28:J29"/>
    <mergeCell ref="C98:J98"/>
    <mergeCell ref="C113:J113"/>
    <mergeCell ref="D130:I130"/>
    <mergeCell ref="D137:I138"/>
    <mergeCell ref="D103:I104"/>
    <mergeCell ref="D88:I89"/>
    <mergeCell ref="C66:J66"/>
  </mergeCells>
  <hyperlinks>
    <hyperlink ref="I12" location="Assumptions!A1" display="see assumptions tab"/>
    <hyperlink ref="I13" location="Assumptions!A1" display="see assumptions tab"/>
    <hyperlink ref="I14" location="Assumptions!A1" display="see assumptions tab"/>
    <hyperlink ref="I15" location="Assumptions!A1" display="see assumptions tab"/>
    <hyperlink ref="I16" location="Assumptions!A1" display="see assumptions tab"/>
    <hyperlink ref="I31" location="Assumptions!A1" display="see assumptions tab"/>
    <hyperlink ref="I32" location="Assumptions!A1" display="see assumptions tab"/>
    <hyperlink ref="I33" location="Assumptions!A1" display="see assumptions tab"/>
    <hyperlink ref="I34" location="Assumptions!A1" display="see assumptions tab"/>
    <hyperlink ref="I35" location="Assumptions!A1" display="see assumptions tab"/>
    <hyperlink ref="H52" location="Assumptions!A1" display="see assumptions tab"/>
    <hyperlink ref="H53" location="Assumptions!A1" display="see assumptions tab"/>
    <hyperlink ref="H54" location="Assumptions!A1" display="see assumptions tab"/>
    <hyperlink ref="H55" location="Assumptions!A1" display="see assumptions tab"/>
    <hyperlink ref="H56" location="Assumptions!A1" display="see assumptions tab"/>
    <hyperlink ref="H74" location="Assumptions!A1" display="see assumptions tab"/>
    <hyperlink ref="H75" location="Assumptions!A1" display="see assumptions tab"/>
    <hyperlink ref="H91" location="Assumptions!A1" display="see assumptions tab"/>
    <hyperlink ref="H106" location="Assumptions!A1" display="see assumptions tab"/>
    <hyperlink ref="H121" location="Assumptions!A1" display="see assumptions tab"/>
    <hyperlink ref="H123" location="Assumptions!A1" display="see assumptions tab"/>
    <hyperlink ref="H124" location="Assumptions!A1" display="see assumptions tab"/>
    <hyperlink ref="H141" location="Assumptions!A1" display="see assumptions tab"/>
    <hyperlink ref="H160" location="Assumptions!A1" display="see assumptions tab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32"/>
  <sheetViews>
    <sheetView zoomScale="80" zoomScaleNormal="80" zoomScalePageLayoutView="0" workbookViewId="0" topLeftCell="A1">
      <selection activeCell="E19" sqref="E19"/>
    </sheetView>
  </sheetViews>
  <sheetFormatPr defaultColWidth="9.140625" defaultRowHeight="15" outlineLevelRow="1"/>
  <cols>
    <col min="1" max="1" width="1.57421875" style="290" customWidth="1"/>
    <col min="2" max="2" width="2.57421875" style="290" customWidth="1"/>
    <col min="3" max="3" width="5.421875" style="290" customWidth="1"/>
    <col min="4" max="4" width="8.28125" style="290" customWidth="1"/>
    <col min="5" max="5" width="11.8515625" style="290" customWidth="1"/>
    <col min="6" max="6" width="18.421875" style="290" customWidth="1"/>
    <col min="7" max="7" width="20.7109375" style="290" customWidth="1"/>
    <col min="8" max="9" width="19.28125" style="290" customWidth="1"/>
    <col min="10" max="10" width="6.57421875" style="290" customWidth="1"/>
    <col min="11" max="11" width="3.00390625" style="290" customWidth="1"/>
    <col min="12" max="16384" width="9.140625" style="290" customWidth="1"/>
  </cols>
  <sheetData>
    <row r="1" spans="2:3" ht="14.25">
      <c r="B1" s="291"/>
      <c r="C1" s="292" t="s">
        <v>117</v>
      </c>
    </row>
    <row r="2" spans="2:3" ht="14.25">
      <c r="B2" s="293"/>
      <c r="C2" s="292" t="s">
        <v>118</v>
      </c>
    </row>
    <row r="3" ht="6.75" customHeight="1" thickBot="1"/>
    <row r="4" spans="2:11" ht="18.75" thickBot="1">
      <c r="B4" s="440" t="s">
        <v>18</v>
      </c>
      <c r="C4" s="441"/>
      <c r="D4" s="441"/>
      <c r="E4" s="441"/>
      <c r="F4" s="441"/>
      <c r="G4" s="441"/>
      <c r="H4" s="441"/>
      <c r="I4" s="441"/>
      <c r="J4" s="441"/>
      <c r="K4" s="442"/>
    </row>
    <row r="6" spans="1:12" ht="15" hidden="1" outlineLevel="1" thickBot="1">
      <c r="A6" s="294"/>
      <c r="B6" s="294"/>
      <c r="C6" s="295"/>
      <c r="D6" s="296"/>
      <c r="E6" s="296"/>
      <c r="F6" s="296"/>
      <c r="G6" s="296"/>
      <c r="H6" s="296"/>
      <c r="I6" s="296"/>
      <c r="J6" s="297"/>
      <c r="K6" s="294"/>
      <c r="L6" s="294"/>
    </row>
    <row r="7" spans="1:12" ht="15" hidden="1" outlineLevel="1" thickBot="1">
      <c r="A7" s="294"/>
      <c r="B7" s="294"/>
      <c r="C7" s="298"/>
      <c r="D7" s="286">
        <f>IF(INPUT!D14="yes",MIN(0.3,E13*E19*(-1)),0)</f>
        <v>0</v>
      </c>
      <c r="E7" s="294" t="s">
        <v>103</v>
      </c>
      <c r="F7" s="294"/>
      <c r="G7" s="294"/>
      <c r="H7" s="294"/>
      <c r="I7" s="294"/>
      <c r="J7" s="299"/>
      <c r="K7" s="294"/>
      <c r="L7" s="294"/>
    </row>
    <row r="8" spans="1:12" ht="14.25" hidden="1" outlineLevel="1">
      <c r="A8" s="294"/>
      <c r="B8" s="294"/>
      <c r="C8" s="298"/>
      <c r="D8" s="294"/>
      <c r="E8" s="294"/>
      <c r="F8" s="294"/>
      <c r="G8" s="294"/>
      <c r="H8" s="294"/>
      <c r="I8" s="294"/>
      <c r="J8" s="299"/>
      <c r="K8" s="294"/>
      <c r="L8" s="294"/>
    </row>
    <row r="9" spans="1:12" ht="14.25" hidden="1" outlineLevel="1">
      <c r="A9" s="294"/>
      <c r="B9" s="294"/>
      <c r="C9" s="298"/>
      <c r="D9" s="294" t="s">
        <v>102</v>
      </c>
      <c r="E9" s="294"/>
      <c r="F9" s="294"/>
      <c r="G9" s="294"/>
      <c r="H9" s="294"/>
      <c r="I9" s="294"/>
      <c r="J9" s="299"/>
      <c r="K9" s="294"/>
      <c r="L9" s="294"/>
    </row>
    <row r="10" spans="1:12" ht="14.25" hidden="1" outlineLevel="1">
      <c r="A10" s="294"/>
      <c r="B10" s="294"/>
      <c r="C10" s="298"/>
      <c r="D10" s="300" t="s">
        <v>131</v>
      </c>
      <c r="E10" s="296"/>
      <c r="F10" s="296"/>
      <c r="G10" s="296"/>
      <c r="H10" s="296"/>
      <c r="I10" s="297"/>
      <c r="J10" s="299"/>
      <c r="K10" s="294"/>
      <c r="L10" s="294"/>
    </row>
    <row r="11" spans="1:12" ht="14.25" hidden="1" outlineLevel="1">
      <c r="A11" s="294"/>
      <c r="B11" s="294"/>
      <c r="C11" s="298"/>
      <c r="D11" s="301" t="s">
        <v>137</v>
      </c>
      <c r="E11" s="294"/>
      <c r="F11" s="294"/>
      <c r="G11" s="294"/>
      <c r="H11" s="294"/>
      <c r="I11" s="299"/>
      <c r="J11" s="299"/>
      <c r="K11" s="294"/>
      <c r="L11" s="294"/>
    </row>
    <row r="12" spans="1:12" ht="14.25" hidden="1" outlineLevel="1">
      <c r="A12" s="294"/>
      <c r="B12" s="294"/>
      <c r="C12" s="298"/>
      <c r="D12" s="302" t="s">
        <v>106</v>
      </c>
      <c r="E12" s="294"/>
      <c r="F12" s="294"/>
      <c r="G12" s="294"/>
      <c r="H12" s="294"/>
      <c r="I12" s="299"/>
      <c r="J12" s="299"/>
      <c r="K12" s="294"/>
      <c r="L12" s="294"/>
    </row>
    <row r="13" spans="1:12" ht="15" customHeight="1" hidden="1" outlineLevel="1">
      <c r="A13" s="294"/>
      <c r="B13" s="294"/>
      <c r="C13" s="298"/>
      <c r="D13" s="303" t="s">
        <v>110</v>
      </c>
      <c r="E13" s="287">
        <f>MAX(0,MIN(5,(F16-F17)/F17))</f>
        <v>4.526315789473684</v>
      </c>
      <c r="F13" s="448" t="s">
        <v>317</v>
      </c>
      <c r="G13" s="448"/>
      <c r="H13" s="448"/>
      <c r="I13" s="449"/>
      <c r="J13" s="299"/>
      <c r="K13" s="294"/>
      <c r="L13" s="294"/>
    </row>
    <row r="14" spans="1:12" ht="14.25" hidden="1" outlineLevel="1">
      <c r="A14" s="294"/>
      <c r="B14" s="294"/>
      <c r="C14" s="298"/>
      <c r="D14" s="303"/>
      <c r="E14" s="304"/>
      <c r="F14" s="448"/>
      <c r="G14" s="448"/>
      <c r="H14" s="448"/>
      <c r="I14" s="449"/>
      <c r="J14" s="299"/>
      <c r="K14" s="294"/>
      <c r="L14" s="294"/>
    </row>
    <row r="15" spans="1:12" ht="14.25" hidden="1" outlineLevel="1">
      <c r="A15" s="294"/>
      <c r="B15" s="294"/>
      <c r="C15" s="298"/>
      <c r="D15" s="303"/>
      <c r="E15" s="304"/>
      <c r="F15" s="448"/>
      <c r="G15" s="448"/>
      <c r="H15" s="448"/>
      <c r="I15" s="449"/>
      <c r="J15" s="299"/>
      <c r="K15" s="294"/>
      <c r="L15" s="294"/>
    </row>
    <row r="16" spans="1:12" ht="14.25" hidden="1" outlineLevel="1">
      <c r="A16" s="294"/>
      <c r="B16" s="294"/>
      <c r="C16" s="298"/>
      <c r="D16" s="303"/>
      <c r="E16" s="305" t="s">
        <v>139</v>
      </c>
      <c r="F16" s="288">
        <f>INPUT!D15</f>
        <v>42</v>
      </c>
      <c r="G16" s="289" t="str">
        <f>INPUT!F15</f>
        <v>housing units per acre</v>
      </c>
      <c r="H16" s="294"/>
      <c r="I16" s="261" t="s">
        <v>348</v>
      </c>
      <c r="J16" s="299"/>
      <c r="K16" s="294"/>
      <c r="L16" s="294"/>
    </row>
    <row r="17" spans="1:12" ht="14.25" hidden="1" outlineLevel="1">
      <c r="A17" s="294"/>
      <c r="B17" s="294"/>
      <c r="C17" s="298"/>
      <c r="D17" s="303"/>
      <c r="E17" s="305" t="s">
        <v>147</v>
      </c>
      <c r="F17" s="288">
        <f>IF(G17="housing units per acre",Assumptions!D23,Assumptions!D24)</f>
        <v>7.6</v>
      </c>
      <c r="G17" s="289" t="str">
        <f>G16</f>
        <v>housing units per acre</v>
      </c>
      <c r="H17" s="448" t="s">
        <v>410</v>
      </c>
      <c r="I17" s="261" t="s">
        <v>347</v>
      </c>
      <c r="J17" s="299"/>
      <c r="K17" s="294"/>
      <c r="L17" s="306"/>
    </row>
    <row r="18" spans="1:12" ht="14.25" hidden="1" outlineLevel="1">
      <c r="A18" s="294"/>
      <c r="B18" s="294"/>
      <c r="C18" s="298"/>
      <c r="D18" s="303"/>
      <c r="E18" s="305"/>
      <c r="F18" s="307"/>
      <c r="G18" s="289"/>
      <c r="H18" s="448"/>
      <c r="I18" s="261"/>
      <c r="J18" s="299"/>
      <c r="K18" s="294"/>
      <c r="L18" s="294"/>
    </row>
    <row r="19" spans="1:12" ht="14.25" hidden="1" outlineLevel="1">
      <c r="A19" s="294"/>
      <c r="B19" s="294"/>
      <c r="C19" s="298"/>
      <c r="D19" s="308" t="s">
        <v>111</v>
      </c>
      <c r="E19" s="309">
        <v>-0.07</v>
      </c>
      <c r="F19" s="294" t="s">
        <v>134</v>
      </c>
      <c r="G19" s="294"/>
      <c r="H19" s="294"/>
      <c r="I19" s="310"/>
      <c r="J19" s="299"/>
      <c r="K19" s="294"/>
      <c r="L19" s="294"/>
    </row>
    <row r="20" spans="1:12" ht="14.25" hidden="1" outlineLevel="1">
      <c r="A20" s="294"/>
      <c r="B20" s="294"/>
      <c r="C20" s="298"/>
      <c r="D20" s="311"/>
      <c r="E20" s="312"/>
      <c r="F20" s="313"/>
      <c r="G20" s="313"/>
      <c r="H20" s="313"/>
      <c r="I20" s="314"/>
      <c r="J20" s="299"/>
      <c r="K20" s="294"/>
      <c r="L20" s="294"/>
    </row>
    <row r="21" spans="1:12" ht="14.25" hidden="1" outlineLevel="1">
      <c r="A21" s="294"/>
      <c r="B21" s="294"/>
      <c r="C21" s="298"/>
      <c r="D21" s="315" t="s">
        <v>349</v>
      </c>
      <c r="E21" s="294"/>
      <c r="F21" s="294"/>
      <c r="G21" s="294"/>
      <c r="H21" s="294"/>
      <c r="I21" s="294"/>
      <c r="J21" s="299"/>
      <c r="K21" s="294"/>
      <c r="L21" s="294"/>
    </row>
    <row r="22" spans="1:12" ht="14.25" hidden="1" outlineLevel="1">
      <c r="A22" s="294"/>
      <c r="B22" s="294"/>
      <c r="C22" s="298"/>
      <c r="D22" s="313"/>
      <c r="E22" s="294"/>
      <c r="F22" s="294"/>
      <c r="G22" s="294"/>
      <c r="H22" s="294"/>
      <c r="I22" s="294"/>
      <c r="J22" s="299"/>
      <c r="K22" s="294"/>
      <c r="L22" s="294"/>
    </row>
    <row r="23" spans="1:12" ht="14.25" collapsed="1">
      <c r="A23" s="294"/>
      <c r="B23" s="294"/>
      <c r="C23" s="443" t="s">
        <v>2</v>
      </c>
      <c r="D23" s="444"/>
      <c r="E23" s="444"/>
      <c r="F23" s="444"/>
      <c r="G23" s="444"/>
      <c r="H23" s="444"/>
      <c r="I23" s="444"/>
      <c r="J23" s="445"/>
      <c r="K23" s="294"/>
      <c r="L23" s="294"/>
    </row>
    <row r="24" spans="1:12" ht="14.25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</row>
    <row r="25" spans="1:12" ht="15" hidden="1" outlineLevel="1" thickBot="1">
      <c r="A25" s="294"/>
      <c r="B25" s="294"/>
      <c r="C25" s="295"/>
      <c r="D25" s="296"/>
      <c r="E25" s="296"/>
      <c r="F25" s="296"/>
      <c r="G25" s="296"/>
      <c r="H25" s="296"/>
      <c r="I25" s="296"/>
      <c r="J25" s="297"/>
      <c r="K25" s="294"/>
      <c r="L25" s="294"/>
    </row>
    <row r="26" spans="1:12" ht="15" hidden="1" outlineLevel="1" thickBot="1">
      <c r="A26" s="294"/>
      <c r="B26" s="294"/>
      <c r="C26" s="298"/>
      <c r="D26" s="286">
        <f>IF(INPUT!D20="yes",MIN(0.3,E32*E38*(-1)),0)</f>
        <v>0</v>
      </c>
      <c r="E26" s="294" t="s">
        <v>103</v>
      </c>
      <c r="F26" s="294"/>
      <c r="G26" s="294"/>
      <c r="H26" s="294"/>
      <c r="I26" s="294"/>
      <c r="J26" s="299"/>
      <c r="K26" s="294"/>
      <c r="L26" s="294"/>
    </row>
    <row r="27" spans="1:12" ht="14.25" hidden="1" outlineLevel="1">
      <c r="A27" s="294"/>
      <c r="B27" s="294"/>
      <c r="C27" s="298"/>
      <c r="D27" s="294"/>
      <c r="E27" s="294"/>
      <c r="F27" s="294"/>
      <c r="G27" s="294"/>
      <c r="H27" s="294"/>
      <c r="I27" s="294"/>
      <c r="J27" s="299"/>
      <c r="K27" s="294"/>
      <c r="L27" s="294"/>
    </row>
    <row r="28" spans="1:12" ht="14.25" hidden="1" outlineLevel="1">
      <c r="A28" s="294"/>
      <c r="B28" s="294"/>
      <c r="C28" s="298"/>
      <c r="D28" s="294" t="s">
        <v>102</v>
      </c>
      <c r="E28" s="294"/>
      <c r="F28" s="294"/>
      <c r="G28" s="294"/>
      <c r="H28" s="294"/>
      <c r="I28" s="294"/>
      <c r="J28" s="299"/>
      <c r="K28" s="294"/>
      <c r="L28" s="294"/>
    </row>
    <row r="29" spans="1:12" ht="14.25" hidden="1" outlineLevel="1">
      <c r="A29" s="294"/>
      <c r="B29" s="294"/>
      <c r="C29" s="298"/>
      <c r="D29" s="300" t="s">
        <v>174</v>
      </c>
      <c r="E29" s="296"/>
      <c r="F29" s="296"/>
      <c r="G29" s="296"/>
      <c r="H29" s="296"/>
      <c r="I29" s="297"/>
      <c r="J29" s="299"/>
      <c r="K29" s="294"/>
      <c r="L29" s="294"/>
    </row>
    <row r="30" spans="1:12" ht="14.25" hidden="1" outlineLevel="1">
      <c r="A30" s="294"/>
      <c r="B30" s="294"/>
      <c r="C30" s="298"/>
      <c r="D30" s="301" t="s">
        <v>137</v>
      </c>
      <c r="E30" s="294"/>
      <c r="F30" s="294"/>
      <c r="G30" s="294"/>
      <c r="H30" s="294"/>
      <c r="I30" s="299"/>
      <c r="J30" s="299"/>
      <c r="K30" s="294"/>
      <c r="L30" s="294"/>
    </row>
    <row r="31" spans="1:12" ht="14.25" hidden="1" outlineLevel="1">
      <c r="A31" s="294"/>
      <c r="B31" s="294"/>
      <c r="C31" s="298"/>
      <c r="D31" s="302" t="s">
        <v>106</v>
      </c>
      <c r="E31" s="294"/>
      <c r="F31" s="294"/>
      <c r="G31" s="294"/>
      <c r="H31" s="294"/>
      <c r="I31" s="299"/>
      <c r="J31" s="299"/>
      <c r="K31" s="294"/>
      <c r="L31" s="294"/>
    </row>
    <row r="32" spans="1:12" ht="15" customHeight="1" hidden="1" outlineLevel="1">
      <c r="A32" s="294"/>
      <c r="B32" s="294"/>
      <c r="C32" s="298"/>
      <c r="D32" s="303" t="s">
        <v>110</v>
      </c>
      <c r="E32" s="287">
        <f>MAX(0,MIN(5,(F35-F36)/F36))</f>
        <v>0.6666666666666666</v>
      </c>
      <c r="F32" s="448" t="s">
        <v>318</v>
      </c>
      <c r="G32" s="448"/>
      <c r="H32" s="448"/>
      <c r="I32" s="449"/>
      <c r="J32" s="299"/>
      <c r="K32" s="294"/>
      <c r="L32" s="294"/>
    </row>
    <row r="33" spans="1:12" ht="14.25" hidden="1" outlineLevel="1">
      <c r="A33" s="294"/>
      <c r="B33" s="294"/>
      <c r="C33" s="298"/>
      <c r="D33" s="303"/>
      <c r="E33" s="304"/>
      <c r="F33" s="448"/>
      <c r="G33" s="448"/>
      <c r="H33" s="448"/>
      <c r="I33" s="449"/>
      <c r="J33" s="299"/>
      <c r="K33" s="294"/>
      <c r="L33" s="294"/>
    </row>
    <row r="34" spans="1:12" ht="14.25" hidden="1" outlineLevel="1">
      <c r="A34" s="294"/>
      <c r="B34" s="294"/>
      <c r="C34" s="298"/>
      <c r="D34" s="303"/>
      <c r="E34" s="304"/>
      <c r="F34" s="448"/>
      <c r="G34" s="448"/>
      <c r="H34" s="448"/>
      <c r="I34" s="449"/>
      <c r="J34" s="299"/>
      <c r="K34" s="294"/>
      <c r="L34" s="294"/>
    </row>
    <row r="35" spans="1:12" ht="14.25" hidden="1" outlineLevel="1">
      <c r="A35" s="294"/>
      <c r="B35" s="294"/>
      <c r="C35" s="298"/>
      <c r="D35" s="303"/>
      <c r="E35" s="305" t="s">
        <v>139</v>
      </c>
      <c r="F35" s="316">
        <f>INPUT!D21</f>
        <v>60</v>
      </c>
      <c r="G35" s="317" t="s">
        <v>175</v>
      </c>
      <c r="H35" s="294"/>
      <c r="I35" s="261" t="s">
        <v>348</v>
      </c>
      <c r="J35" s="299"/>
      <c r="K35" s="294"/>
      <c r="L35" s="294"/>
    </row>
    <row r="36" spans="1:12" ht="14.25" hidden="1" outlineLevel="1">
      <c r="A36" s="294"/>
      <c r="B36" s="294"/>
      <c r="C36" s="298"/>
      <c r="D36" s="303"/>
      <c r="E36" s="305" t="s">
        <v>147</v>
      </c>
      <c r="F36" s="316">
        <f>Assumptions!D30</f>
        <v>36</v>
      </c>
      <c r="G36" s="447" t="s">
        <v>176</v>
      </c>
      <c r="H36" s="447"/>
      <c r="I36" s="261" t="s">
        <v>347</v>
      </c>
      <c r="J36" s="299"/>
      <c r="K36" s="294"/>
      <c r="L36" s="294"/>
    </row>
    <row r="37" spans="1:12" ht="14.25" hidden="1" outlineLevel="1">
      <c r="A37" s="294"/>
      <c r="B37" s="294"/>
      <c r="C37" s="298"/>
      <c r="D37" s="303"/>
      <c r="E37" s="305"/>
      <c r="F37" s="318"/>
      <c r="G37" s="447"/>
      <c r="H37" s="447"/>
      <c r="I37" s="310"/>
      <c r="J37" s="299"/>
      <c r="K37" s="294"/>
      <c r="L37" s="294"/>
    </row>
    <row r="38" spans="1:12" ht="14.25" hidden="1" outlineLevel="1">
      <c r="A38" s="294"/>
      <c r="B38" s="294"/>
      <c r="C38" s="298"/>
      <c r="D38" s="308" t="s">
        <v>111</v>
      </c>
      <c r="E38" s="309">
        <v>-0.12</v>
      </c>
      <c r="F38" s="294" t="s">
        <v>177</v>
      </c>
      <c r="G38" s="294"/>
      <c r="H38" s="294"/>
      <c r="I38" s="310"/>
      <c r="J38" s="299"/>
      <c r="K38" s="294"/>
      <c r="L38" s="294"/>
    </row>
    <row r="39" spans="1:12" ht="14.25" hidden="1" outlineLevel="1">
      <c r="A39" s="294"/>
      <c r="B39" s="294"/>
      <c r="C39" s="298"/>
      <c r="D39" s="311"/>
      <c r="E39" s="312"/>
      <c r="F39" s="313"/>
      <c r="G39" s="313"/>
      <c r="H39" s="313"/>
      <c r="I39" s="314"/>
      <c r="J39" s="299"/>
      <c r="K39" s="294"/>
      <c r="L39" s="294"/>
    </row>
    <row r="40" spans="1:12" ht="14.25" hidden="1" outlineLevel="1">
      <c r="A40" s="294"/>
      <c r="B40" s="294"/>
      <c r="C40" s="298"/>
      <c r="D40" s="315" t="s">
        <v>350</v>
      </c>
      <c r="E40" s="294"/>
      <c r="F40" s="294"/>
      <c r="G40" s="294"/>
      <c r="H40" s="294"/>
      <c r="I40" s="294"/>
      <c r="J40" s="299"/>
      <c r="K40" s="294"/>
      <c r="L40" s="294"/>
    </row>
    <row r="41" spans="1:12" ht="14.25" hidden="1" outlineLevel="1">
      <c r="A41" s="294"/>
      <c r="B41" s="294"/>
      <c r="C41" s="298"/>
      <c r="D41" s="294"/>
      <c r="E41" s="294"/>
      <c r="F41" s="294"/>
      <c r="G41" s="294"/>
      <c r="H41" s="294"/>
      <c r="I41" s="294"/>
      <c r="J41" s="299"/>
      <c r="K41" s="294"/>
      <c r="L41" s="294"/>
    </row>
    <row r="42" spans="1:12" ht="14.25" collapsed="1">
      <c r="A42" s="294"/>
      <c r="B42" s="294"/>
      <c r="C42" s="443" t="s">
        <v>3</v>
      </c>
      <c r="D42" s="444"/>
      <c r="E42" s="444"/>
      <c r="F42" s="444"/>
      <c r="G42" s="444"/>
      <c r="H42" s="444"/>
      <c r="I42" s="444"/>
      <c r="J42" s="445"/>
      <c r="K42" s="294"/>
      <c r="L42" s="294"/>
    </row>
    <row r="43" spans="1:12" ht="14.25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</row>
    <row r="44" spans="1:12" ht="15" hidden="1" outlineLevel="1" thickBot="1">
      <c r="A44" s="294"/>
      <c r="B44" s="294"/>
      <c r="C44" s="295"/>
      <c r="D44" s="296"/>
      <c r="E44" s="296"/>
      <c r="F44" s="296"/>
      <c r="G44" s="296"/>
      <c r="H44" s="296"/>
      <c r="I44" s="296"/>
      <c r="J44" s="297"/>
      <c r="K44" s="294"/>
      <c r="L44" s="294"/>
    </row>
    <row r="45" spans="1:12" ht="15" hidden="1" outlineLevel="1" thickBot="1">
      <c r="A45" s="294"/>
      <c r="B45" s="294"/>
      <c r="C45" s="298"/>
      <c r="D45" s="286">
        <f>IF(INPUT!D26="yes",MIN(0.3,E51*E66*(-1)),0)</f>
        <v>0</v>
      </c>
      <c r="E45" s="294" t="s">
        <v>103</v>
      </c>
      <c r="F45" s="294"/>
      <c r="G45" s="294"/>
      <c r="H45" s="294"/>
      <c r="I45" s="294"/>
      <c r="J45" s="299"/>
      <c r="K45" s="294"/>
      <c r="L45" s="294"/>
    </row>
    <row r="46" spans="1:12" ht="14.25" hidden="1" outlineLevel="1">
      <c r="A46" s="294"/>
      <c r="B46" s="294"/>
      <c r="C46" s="298"/>
      <c r="D46" s="294"/>
      <c r="E46" s="294"/>
      <c r="F46" s="294"/>
      <c r="G46" s="294"/>
      <c r="H46" s="294"/>
      <c r="I46" s="294"/>
      <c r="J46" s="299"/>
      <c r="K46" s="294"/>
      <c r="L46" s="294"/>
    </row>
    <row r="47" spans="1:12" ht="14.25" hidden="1" outlineLevel="1">
      <c r="A47" s="294"/>
      <c r="B47" s="294"/>
      <c r="C47" s="298"/>
      <c r="D47" s="294" t="s">
        <v>102</v>
      </c>
      <c r="E47" s="294"/>
      <c r="F47" s="294"/>
      <c r="G47" s="294"/>
      <c r="H47" s="294"/>
      <c r="I47" s="294"/>
      <c r="J47" s="299"/>
      <c r="K47" s="294"/>
      <c r="L47" s="294"/>
    </row>
    <row r="48" spans="1:12" ht="14.25" hidden="1" outlineLevel="1">
      <c r="A48" s="294"/>
      <c r="B48" s="294"/>
      <c r="C48" s="298"/>
      <c r="D48" s="300" t="s">
        <v>136</v>
      </c>
      <c r="E48" s="296"/>
      <c r="F48" s="296"/>
      <c r="G48" s="296"/>
      <c r="H48" s="296"/>
      <c r="I48" s="297"/>
      <c r="J48" s="299"/>
      <c r="K48" s="294"/>
      <c r="L48" s="294"/>
    </row>
    <row r="49" spans="1:12" ht="14.25" hidden="1" outlineLevel="1">
      <c r="A49" s="294"/>
      <c r="B49" s="294"/>
      <c r="C49" s="298"/>
      <c r="D49" s="301" t="s">
        <v>137</v>
      </c>
      <c r="E49" s="294"/>
      <c r="F49" s="294"/>
      <c r="G49" s="294"/>
      <c r="H49" s="294"/>
      <c r="I49" s="299"/>
      <c r="J49" s="299"/>
      <c r="K49" s="294"/>
      <c r="L49" s="294"/>
    </row>
    <row r="50" spans="1:12" ht="14.25" hidden="1" outlineLevel="1">
      <c r="A50" s="294"/>
      <c r="B50" s="294"/>
      <c r="C50" s="298"/>
      <c r="D50" s="302" t="s">
        <v>106</v>
      </c>
      <c r="E50" s="294"/>
      <c r="F50" s="294"/>
      <c r="G50" s="294"/>
      <c r="H50" s="294"/>
      <c r="I50" s="299"/>
      <c r="J50" s="299"/>
      <c r="K50" s="294"/>
      <c r="L50" s="294"/>
    </row>
    <row r="51" spans="1:12" ht="15" customHeight="1" hidden="1" outlineLevel="1">
      <c r="A51" s="294"/>
      <c r="B51" s="294"/>
      <c r="C51" s="298"/>
      <c r="D51" s="303" t="s">
        <v>110</v>
      </c>
      <c r="E51" s="287">
        <f>MIN(5,((-SUMPRODUCT(G58:G63,H58:H63)/LN(6))-F65)/F65)</f>
        <v>3.345107475641783</v>
      </c>
      <c r="F51" s="448" t="s">
        <v>320</v>
      </c>
      <c r="G51" s="448"/>
      <c r="H51" s="448"/>
      <c r="I51" s="449"/>
      <c r="J51" s="299"/>
      <c r="K51" s="294"/>
      <c r="L51" s="294"/>
    </row>
    <row r="52" spans="1:12" ht="14.25" hidden="1" outlineLevel="1">
      <c r="A52" s="294"/>
      <c r="B52" s="294"/>
      <c r="C52" s="298"/>
      <c r="D52" s="303"/>
      <c r="F52" s="448"/>
      <c r="G52" s="448"/>
      <c r="H52" s="448"/>
      <c r="I52" s="449"/>
      <c r="J52" s="299"/>
      <c r="K52" s="294"/>
      <c r="L52" s="294"/>
    </row>
    <row r="53" spans="1:12" ht="14.25" hidden="1" outlineLevel="1">
      <c r="A53" s="294"/>
      <c r="B53" s="294"/>
      <c r="C53" s="298"/>
      <c r="D53" s="303"/>
      <c r="F53" s="448"/>
      <c r="G53" s="448"/>
      <c r="H53" s="448"/>
      <c r="I53" s="449"/>
      <c r="J53" s="299"/>
      <c r="K53" s="294"/>
      <c r="L53" s="294"/>
    </row>
    <row r="54" spans="1:12" ht="14.25" hidden="1" outlineLevel="1">
      <c r="A54" s="294"/>
      <c r="B54" s="294"/>
      <c r="C54" s="298"/>
      <c r="D54" s="303"/>
      <c r="E54" s="305" t="s">
        <v>139</v>
      </c>
      <c r="F54" s="290" t="s">
        <v>138</v>
      </c>
      <c r="G54" s="289"/>
      <c r="H54" s="294"/>
      <c r="I54" s="310"/>
      <c r="J54" s="299"/>
      <c r="K54" s="294"/>
      <c r="L54" s="294"/>
    </row>
    <row r="55" spans="1:12" ht="21" customHeight="1" hidden="1" outlineLevel="1">
      <c r="A55" s="294"/>
      <c r="B55" s="294"/>
      <c r="C55" s="298"/>
      <c r="D55" s="303"/>
      <c r="F55" s="290" t="s">
        <v>319</v>
      </c>
      <c r="H55" s="319"/>
      <c r="I55" s="310"/>
      <c r="J55" s="299"/>
      <c r="K55" s="294"/>
      <c r="L55" s="306"/>
    </row>
    <row r="56" spans="1:12" ht="21" customHeight="1" hidden="1" outlineLevel="1">
      <c r="A56" s="294"/>
      <c r="B56" s="294"/>
      <c r="C56" s="298"/>
      <c r="D56" s="303"/>
      <c r="F56" s="320" t="s">
        <v>140</v>
      </c>
      <c r="G56" s="319"/>
      <c r="H56" s="319"/>
      <c r="I56" s="310"/>
      <c r="J56" s="299"/>
      <c r="K56" s="294"/>
      <c r="L56" s="294"/>
    </row>
    <row r="57" spans="1:12" ht="15.75" customHeight="1" hidden="1" outlineLevel="1">
      <c r="A57" s="294"/>
      <c r="B57" s="294"/>
      <c r="C57" s="298"/>
      <c r="D57" s="303"/>
      <c r="G57" s="321" t="s">
        <v>152</v>
      </c>
      <c r="H57" s="322" t="s">
        <v>153</v>
      </c>
      <c r="I57" s="310"/>
      <c r="J57" s="299"/>
      <c r="K57" s="294"/>
      <c r="L57" s="294"/>
    </row>
    <row r="58" spans="1:12" ht="16.5" hidden="1" outlineLevel="1">
      <c r="A58" s="294"/>
      <c r="B58" s="294"/>
      <c r="C58" s="298"/>
      <c r="D58" s="303"/>
      <c r="F58" s="323" t="s">
        <v>141</v>
      </c>
      <c r="G58" s="324">
        <f>IF(INPUT!D28=0,0.01,INPUT!D28)</f>
        <v>0.01</v>
      </c>
      <c r="H58" s="325">
        <f aca="true" t="shared" si="0" ref="H58:H63">LN(G58)</f>
        <v>-4.605170185988091</v>
      </c>
      <c r="I58" s="261" t="s">
        <v>348</v>
      </c>
      <c r="J58" s="299"/>
      <c r="K58" s="294"/>
      <c r="L58" s="294"/>
    </row>
    <row r="59" spans="1:12" ht="16.5" hidden="1" outlineLevel="1">
      <c r="A59" s="294"/>
      <c r="B59" s="294"/>
      <c r="C59" s="298"/>
      <c r="D59" s="303"/>
      <c r="F59" s="323" t="s">
        <v>142</v>
      </c>
      <c r="G59" s="324">
        <f>IF(INPUT!D29=0,0.01,INPUT!D29)</f>
        <v>0.5</v>
      </c>
      <c r="H59" s="325">
        <f t="shared" si="0"/>
        <v>-0.6931471805599453</v>
      </c>
      <c r="I59" s="261" t="s">
        <v>348</v>
      </c>
      <c r="J59" s="299"/>
      <c r="K59" s="294"/>
      <c r="L59" s="294"/>
    </row>
    <row r="60" spans="1:12" ht="16.5" hidden="1" outlineLevel="1">
      <c r="A60" s="294"/>
      <c r="B60" s="294"/>
      <c r="C60" s="298"/>
      <c r="D60" s="303"/>
      <c r="F60" s="323" t="s">
        <v>143</v>
      </c>
      <c r="G60" s="324">
        <f>IF(INPUT!D30=0,0.01,INPUT!D30)</f>
        <v>0.2</v>
      </c>
      <c r="H60" s="325">
        <f t="shared" si="0"/>
        <v>-1.6094379124341003</v>
      </c>
      <c r="I60" s="261" t="s">
        <v>348</v>
      </c>
      <c r="J60" s="299"/>
      <c r="K60" s="294"/>
      <c r="L60" s="294"/>
    </row>
    <row r="61" spans="1:12" ht="16.5" hidden="1" outlineLevel="1">
      <c r="A61" s="294"/>
      <c r="B61" s="294"/>
      <c r="C61" s="298"/>
      <c r="D61" s="303"/>
      <c r="F61" s="323" t="s">
        <v>144</v>
      </c>
      <c r="G61" s="324">
        <f>IF(INPUT!D31=0,0.01,INPUT!D31)</f>
        <v>0.01</v>
      </c>
      <c r="H61" s="325">
        <f t="shared" si="0"/>
        <v>-4.605170185988091</v>
      </c>
      <c r="I61" s="261" t="s">
        <v>348</v>
      </c>
      <c r="J61" s="299"/>
      <c r="K61" s="294"/>
      <c r="L61" s="294"/>
    </row>
    <row r="62" spans="1:12" ht="16.5" hidden="1" outlineLevel="1">
      <c r="A62" s="294"/>
      <c r="B62" s="294"/>
      <c r="C62" s="298"/>
      <c r="D62" s="303"/>
      <c r="F62" s="323" t="s">
        <v>145</v>
      </c>
      <c r="G62" s="324">
        <f>IF(INPUT!D32=0,0.01,INPUT!D32)</f>
        <v>0.01</v>
      </c>
      <c r="H62" s="325">
        <f t="shared" si="0"/>
        <v>-4.605170185988091</v>
      </c>
      <c r="I62" s="261" t="s">
        <v>348</v>
      </c>
      <c r="J62" s="299"/>
      <c r="K62" s="294"/>
      <c r="L62" s="294"/>
    </row>
    <row r="63" spans="1:12" ht="16.5" hidden="1" outlineLevel="1">
      <c r="A63" s="294"/>
      <c r="B63" s="294"/>
      <c r="C63" s="298"/>
      <c r="D63" s="303"/>
      <c r="F63" s="323" t="s">
        <v>146</v>
      </c>
      <c r="G63" s="324">
        <f>IF(INPUT!D33=0,0.01,INPUT!D33)</f>
        <v>0.3</v>
      </c>
      <c r="H63" s="325">
        <f t="shared" si="0"/>
        <v>-1.2039728043259361</v>
      </c>
      <c r="I63" s="261" t="s">
        <v>348</v>
      </c>
      <c r="J63" s="299"/>
      <c r="K63" s="294"/>
      <c r="L63" s="294"/>
    </row>
    <row r="64" spans="1:12" ht="16.5" hidden="1" outlineLevel="1">
      <c r="A64" s="294"/>
      <c r="B64" s="294"/>
      <c r="C64" s="298"/>
      <c r="D64" s="303"/>
      <c r="F64" s="326" t="s">
        <v>150</v>
      </c>
      <c r="G64" s="317"/>
      <c r="H64" s="294"/>
      <c r="I64" s="310"/>
      <c r="J64" s="299"/>
      <c r="K64" s="294"/>
      <c r="L64" s="294"/>
    </row>
    <row r="65" spans="1:12" ht="14.25" hidden="1" outlineLevel="1">
      <c r="A65" s="294"/>
      <c r="B65" s="294"/>
      <c r="C65" s="298"/>
      <c r="D65" s="303"/>
      <c r="E65" s="305" t="s">
        <v>147</v>
      </c>
      <c r="F65" s="327">
        <f>Assumptions!D36</f>
        <v>0.15</v>
      </c>
      <c r="G65" s="317" t="s">
        <v>148</v>
      </c>
      <c r="H65" s="294"/>
      <c r="I65" s="261" t="s">
        <v>347</v>
      </c>
      <c r="J65" s="299"/>
      <c r="K65" s="294"/>
      <c r="L65" s="294"/>
    </row>
    <row r="66" spans="1:12" ht="14.25" hidden="1" outlineLevel="1">
      <c r="A66" s="294"/>
      <c r="B66" s="294"/>
      <c r="C66" s="298"/>
      <c r="D66" s="308" t="s">
        <v>111</v>
      </c>
      <c r="E66" s="309">
        <v>-0.09</v>
      </c>
      <c r="F66" s="294" t="s">
        <v>149</v>
      </c>
      <c r="G66" s="294"/>
      <c r="H66" s="294"/>
      <c r="I66" s="310"/>
      <c r="J66" s="299"/>
      <c r="K66" s="294"/>
      <c r="L66" s="294"/>
    </row>
    <row r="67" spans="1:12" ht="14.25" hidden="1" outlineLevel="1">
      <c r="A67" s="294"/>
      <c r="B67" s="294"/>
      <c r="C67" s="298"/>
      <c r="D67" s="311"/>
      <c r="E67" s="312"/>
      <c r="F67" s="313"/>
      <c r="G67" s="313"/>
      <c r="H67" s="313"/>
      <c r="I67" s="314"/>
      <c r="J67" s="299"/>
      <c r="K67" s="294"/>
      <c r="L67" s="294"/>
    </row>
    <row r="68" spans="1:12" ht="14.25" hidden="1" outlineLevel="1">
      <c r="A68" s="294"/>
      <c r="B68" s="294"/>
      <c r="C68" s="298"/>
      <c r="D68" s="315" t="s">
        <v>351</v>
      </c>
      <c r="E68" s="294"/>
      <c r="F68" s="294"/>
      <c r="G68" s="294"/>
      <c r="H68" s="294"/>
      <c r="I68" s="294"/>
      <c r="J68" s="299"/>
      <c r="K68" s="294"/>
      <c r="L68" s="294"/>
    </row>
    <row r="69" spans="1:12" ht="14.25" hidden="1" outlineLevel="1">
      <c r="A69" s="294"/>
      <c r="B69" s="294"/>
      <c r="C69" s="298"/>
      <c r="D69" s="294"/>
      <c r="E69" s="294"/>
      <c r="F69" s="294"/>
      <c r="G69" s="294"/>
      <c r="H69" s="294"/>
      <c r="I69" s="294"/>
      <c r="J69" s="299"/>
      <c r="K69" s="294"/>
      <c r="L69" s="294"/>
    </row>
    <row r="70" spans="1:12" ht="14.25" collapsed="1">
      <c r="A70" s="294"/>
      <c r="B70" s="294"/>
      <c r="C70" s="443" t="s">
        <v>5</v>
      </c>
      <c r="D70" s="444"/>
      <c r="E70" s="444"/>
      <c r="F70" s="444"/>
      <c r="G70" s="444"/>
      <c r="H70" s="444"/>
      <c r="I70" s="444"/>
      <c r="J70" s="445"/>
      <c r="K70" s="294"/>
      <c r="L70" s="294"/>
    </row>
    <row r="71" spans="1:12" ht="14.25">
      <c r="A71" s="294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</row>
    <row r="72" spans="1:12" ht="15" hidden="1" outlineLevel="1" thickBot="1">
      <c r="A72" s="294"/>
      <c r="B72" s="294"/>
      <c r="C72" s="295"/>
      <c r="D72" s="296"/>
      <c r="E72" s="296"/>
      <c r="F72" s="296"/>
      <c r="G72" s="296"/>
      <c r="H72" s="296"/>
      <c r="I72" s="296"/>
      <c r="J72" s="297"/>
      <c r="K72" s="294"/>
      <c r="L72" s="294"/>
    </row>
    <row r="73" spans="1:12" ht="15" hidden="1" outlineLevel="1" thickBot="1">
      <c r="A73" s="294"/>
      <c r="B73" s="294"/>
      <c r="C73" s="298"/>
      <c r="D73" s="286">
        <f>IF(INPUT!D39="yes",MIN(0.3,(F82-F81)/F82*E84*(-1)),0)</f>
        <v>0</v>
      </c>
      <c r="E73" s="294" t="s">
        <v>103</v>
      </c>
      <c r="F73" s="294"/>
      <c r="G73" s="294"/>
      <c r="H73" s="294"/>
      <c r="I73" s="294"/>
      <c r="J73" s="299"/>
      <c r="K73" s="294"/>
      <c r="L73" s="294"/>
    </row>
    <row r="74" spans="1:12" ht="14.25" hidden="1" outlineLevel="1">
      <c r="A74" s="294"/>
      <c r="B74" s="294"/>
      <c r="C74" s="298"/>
      <c r="D74" s="294"/>
      <c r="E74" s="294"/>
      <c r="F74" s="294"/>
      <c r="G74" s="294"/>
      <c r="H74" s="294"/>
      <c r="I74" s="294"/>
      <c r="J74" s="299"/>
      <c r="K74" s="294"/>
      <c r="L74" s="294"/>
    </row>
    <row r="75" spans="1:12" ht="14.25" hidden="1" outlineLevel="1">
      <c r="A75" s="294"/>
      <c r="B75" s="294"/>
      <c r="C75" s="298"/>
      <c r="D75" s="294" t="s">
        <v>102</v>
      </c>
      <c r="E75" s="294"/>
      <c r="F75" s="294"/>
      <c r="G75" s="294"/>
      <c r="H75" s="294"/>
      <c r="I75" s="294"/>
      <c r="J75" s="299"/>
      <c r="K75" s="294"/>
      <c r="L75" s="294"/>
    </row>
    <row r="76" spans="1:12" ht="14.25" hidden="1" outlineLevel="1">
      <c r="A76" s="294"/>
      <c r="B76" s="294"/>
      <c r="C76" s="298"/>
      <c r="D76" s="300" t="s">
        <v>321</v>
      </c>
      <c r="E76" s="296"/>
      <c r="F76" s="296"/>
      <c r="G76" s="296"/>
      <c r="H76" s="296"/>
      <c r="I76" s="297"/>
      <c r="J76" s="299"/>
      <c r="K76" s="294"/>
      <c r="L76" s="294"/>
    </row>
    <row r="77" spans="1:12" ht="14.25" hidden="1" outlineLevel="1">
      <c r="A77" s="294"/>
      <c r="B77" s="294"/>
      <c r="C77" s="298"/>
      <c r="D77" s="301" t="s">
        <v>137</v>
      </c>
      <c r="E77" s="294"/>
      <c r="F77" s="294"/>
      <c r="G77" s="294"/>
      <c r="H77" s="294"/>
      <c r="I77" s="299"/>
      <c r="J77" s="299"/>
      <c r="K77" s="294"/>
      <c r="L77" s="294"/>
    </row>
    <row r="78" spans="1:12" ht="14.25" hidden="1" outlineLevel="1">
      <c r="A78" s="294"/>
      <c r="B78" s="294"/>
      <c r="C78" s="298"/>
      <c r="D78" s="302" t="s">
        <v>106</v>
      </c>
      <c r="E78" s="294"/>
      <c r="F78" s="294"/>
      <c r="G78" s="294"/>
      <c r="H78" s="294"/>
      <c r="I78" s="299"/>
      <c r="J78" s="299"/>
      <c r="K78" s="294"/>
      <c r="L78" s="294"/>
    </row>
    <row r="79" spans="1:12" ht="22.5" customHeight="1" hidden="1" outlineLevel="1">
      <c r="A79" s="294"/>
      <c r="B79" s="294"/>
      <c r="C79" s="298"/>
      <c r="D79" s="303" t="s">
        <v>110</v>
      </c>
      <c r="E79" s="287">
        <f>MAX(0,(F82-F81)/F82)</f>
        <v>0.8333333333333334</v>
      </c>
      <c r="F79" s="448" t="s">
        <v>322</v>
      </c>
      <c r="G79" s="448"/>
      <c r="H79" s="448"/>
      <c r="I79" s="449"/>
      <c r="J79" s="299"/>
      <c r="K79" s="294"/>
      <c r="L79" s="294"/>
    </row>
    <row r="80" spans="1:12" ht="22.5" customHeight="1" hidden="1" outlineLevel="1">
      <c r="A80" s="294"/>
      <c r="B80" s="294"/>
      <c r="C80" s="298"/>
      <c r="D80" s="303"/>
      <c r="E80" s="304"/>
      <c r="F80" s="448"/>
      <c r="G80" s="448"/>
      <c r="H80" s="448"/>
      <c r="I80" s="449"/>
      <c r="J80" s="299"/>
      <c r="K80" s="294"/>
      <c r="L80" s="294"/>
    </row>
    <row r="81" spans="1:12" ht="14.25" hidden="1" outlineLevel="1">
      <c r="A81" s="294"/>
      <c r="B81" s="294"/>
      <c r="C81" s="298"/>
      <c r="D81" s="303"/>
      <c r="E81" s="328" t="s">
        <v>139</v>
      </c>
      <c r="F81" s="288">
        <f>MAX(0,INPUT!D40)</f>
        <v>2</v>
      </c>
      <c r="G81" s="329" t="s">
        <v>154</v>
      </c>
      <c r="H81" s="330"/>
      <c r="I81" s="261" t="s">
        <v>348</v>
      </c>
      <c r="J81" s="299"/>
      <c r="K81" s="294"/>
      <c r="L81" s="294"/>
    </row>
    <row r="82" spans="1:12" ht="14.25" hidden="1" outlineLevel="1">
      <c r="A82" s="294"/>
      <c r="B82" s="294"/>
      <c r="C82" s="298"/>
      <c r="D82" s="303"/>
      <c r="E82" s="328" t="s">
        <v>147</v>
      </c>
      <c r="F82" s="288">
        <f>Assumptions!D42</f>
        <v>12</v>
      </c>
      <c r="G82" s="446" t="s">
        <v>155</v>
      </c>
      <c r="H82" s="446"/>
      <c r="I82" s="261" t="s">
        <v>347</v>
      </c>
      <c r="J82" s="299"/>
      <c r="K82" s="294"/>
      <c r="L82" s="294"/>
    </row>
    <row r="83" spans="1:12" ht="14.25" hidden="1" outlineLevel="1">
      <c r="A83" s="294"/>
      <c r="B83" s="294"/>
      <c r="C83" s="298"/>
      <c r="D83" s="303"/>
      <c r="E83" s="330"/>
      <c r="F83" s="329"/>
      <c r="G83" s="446"/>
      <c r="H83" s="446"/>
      <c r="I83" s="310"/>
      <c r="J83" s="299"/>
      <c r="K83" s="294"/>
      <c r="L83" s="294"/>
    </row>
    <row r="84" spans="1:12" ht="14.25" hidden="1" outlineLevel="1">
      <c r="A84" s="294"/>
      <c r="B84" s="294"/>
      <c r="C84" s="298"/>
      <c r="D84" s="308" t="s">
        <v>111</v>
      </c>
      <c r="E84" s="309">
        <v>-0.2</v>
      </c>
      <c r="F84" s="294" t="s">
        <v>156</v>
      </c>
      <c r="G84" s="294"/>
      <c r="H84" s="294"/>
      <c r="I84" s="310"/>
      <c r="J84" s="299"/>
      <c r="K84" s="294"/>
      <c r="L84" s="294"/>
    </row>
    <row r="85" spans="1:12" ht="14.25" hidden="1" outlineLevel="1">
      <c r="A85" s="294"/>
      <c r="B85" s="294"/>
      <c r="C85" s="298"/>
      <c r="D85" s="311"/>
      <c r="E85" s="312"/>
      <c r="F85" s="313"/>
      <c r="G85" s="313"/>
      <c r="H85" s="313"/>
      <c r="I85" s="314"/>
      <c r="J85" s="299"/>
      <c r="K85" s="294"/>
      <c r="L85" s="294"/>
    </row>
    <row r="86" spans="1:12" ht="14.25" hidden="1" outlineLevel="1">
      <c r="A86" s="294"/>
      <c r="B86" s="294"/>
      <c r="C86" s="298"/>
      <c r="D86" s="315" t="s">
        <v>352</v>
      </c>
      <c r="E86" s="294"/>
      <c r="F86" s="294"/>
      <c r="G86" s="294"/>
      <c r="H86" s="294"/>
      <c r="I86" s="294"/>
      <c r="J86" s="299"/>
      <c r="K86" s="294"/>
      <c r="L86" s="294"/>
    </row>
    <row r="87" spans="1:12" ht="14.25" hidden="1" outlineLevel="1">
      <c r="A87" s="294"/>
      <c r="B87" s="294"/>
      <c r="C87" s="298"/>
      <c r="D87" s="294"/>
      <c r="E87" s="294"/>
      <c r="F87" s="294"/>
      <c r="G87" s="294"/>
      <c r="H87" s="294"/>
      <c r="I87" s="294"/>
      <c r="J87" s="299"/>
      <c r="K87" s="294"/>
      <c r="L87" s="294"/>
    </row>
    <row r="88" spans="1:12" ht="14.25" collapsed="1">
      <c r="A88" s="294"/>
      <c r="B88" s="294"/>
      <c r="C88" s="443" t="s">
        <v>13</v>
      </c>
      <c r="D88" s="444"/>
      <c r="E88" s="444"/>
      <c r="F88" s="444"/>
      <c r="G88" s="444"/>
      <c r="H88" s="444"/>
      <c r="I88" s="444"/>
      <c r="J88" s="445"/>
      <c r="K88" s="294"/>
      <c r="L88" s="294"/>
    </row>
    <row r="89" spans="1:12" ht="14.25">
      <c r="A89" s="294"/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</row>
    <row r="90" spans="1:12" ht="15" hidden="1" outlineLevel="1" thickBot="1">
      <c r="A90" s="294"/>
      <c r="B90" s="294"/>
      <c r="C90" s="295"/>
      <c r="D90" s="296"/>
      <c r="E90" s="296"/>
      <c r="F90" s="296"/>
      <c r="G90" s="296"/>
      <c r="H90" s="296"/>
      <c r="I90" s="296"/>
      <c r="J90" s="297"/>
      <c r="K90" s="294"/>
      <c r="L90" s="294"/>
    </row>
    <row r="91" spans="1:12" ht="15" hidden="1" outlineLevel="1" thickBot="1">
      <c r="A91" s="294"/>
      <c r="B91" s="294"/>
      <c r="C91" s="298"/>
      <c r="D91" s="286">
        <f>IF(INPUT!D46&gt;'Land Use'!E96,(1-((INPUT!D46-'Land Use'!E96)/(3-'Land Use'!E96)))*'Land Use'!E97,'Land Use'!E97)</f>
        <v>0</v>
      </c>
      <c r="E91" s="294" t="s">
        <v>103</v>
      </c>
      <c r="F91" s="294"/>
      <c r="G91" s="294"/>
      <c r="H91" s="294"/>
      <c r="I91" s="294"/>
      <c r="J91" s="299"/>
      <c r="K91" s="294"/>
      <c r="L91" s="294"/>
    </row>
    <row r="92" spans="1:12" ht="14.25" hidden="1" outlineLevel="1">
      <c r="A92" s="294"/>
      <c r="B92" s="294"/>
      <c r="C92" s="298"/>
      <c r="D92" s="345"/>
      <c r="E92" s="294"/>
      <c r="F92" s="294"/>
      <c r="G92" s="294"/>
      <c r="H92" s="294"/>
      <c r="I92" s="294"/>
      <c r="J92" s="299"/>
      <c r="K92" s="294"/>
      <c r="L92" s="294"/>
    </row>
    <row r="93" spans="1:12" ht="14.25" hidden="1" outlineLevel="1">
      <c r="A93" s="294"/>
      <c r="B93" s="294"/>
      <c r="C93" s="298"/>
      <c r="D93" s="345" t="s">
        <v>449</v>
      </c>
      <c r="E93" s="294"/>
      <c r="F93" s="294"/>
      <c r="G93" s="294"/>
      <c r="H93" s="294"/>
      <c r="I93" s="294"/>
      <c r="J93" s="299"/>
      <c r="K93" s="294"/>
      <c r="L93" s="294"/>
    </row>
    <row r="94" spans="1:12" ht="47.25" customHeight="1" hidden="1" outlineLevel="1">
      <c r="A94" s="294"/>
      <c r="B94" s="294"/>
      <c r="C94" s="298"/>
      <c r="D94" s="450" t="s">
        <v>452</v>
      </c>
      <c r="E94" s="451"/>
      <c r="F94" s="451"/>
      <c r="G94" s="451"/>
      <c r="H94" s="451"/>
      <c r="I94" s="452"/>
      <c r="J94" s="299"/>
      <c r="K94" s="294"/>
      <c r="L94" s="294"/>
    </row>
    <row r="95" spans="1:12" ht="14.25" hidden="1" outlineLevel="1">
      <c r="A95" s="294"/>
      <c r="B95" s="294"/>
      <c r="C95" s="298"/>
      <c r="D95" s="347" t="s">
        <v>106</v>
      </c>
      <c r="E95" s="294"/>
      <c r="F95" s="294"/>
      <c r="G95" s="294"/>
      <c r="H95" s="294"/>
      <c r="I95" s="299"/>
      <c r="J95" s="299"/>
      <c r="K95" s="294"/>
      <c r="L95" s="294"/>
    </row>
    <row r="96" spans="1:12" ht="14.25" hidden="1" outlineLevel="1">
      <c r="A96" s="294"/>
      <c r="B96" s="294"/>
      <c r="C96" s="298"/>
      <c r="D96" s="348" t="s">
        <v>110</v>
      </c>
      <c r="E96" s="349">
        <v>0.125</v>
      </c>
      <c r="F96" s="294" t="s">
        <v>450</v>
      </c>
      <c r="G96" s="294"/>
      <c r="H96" s="294"/>
      <c r="I96" s="299"/>
      <c r="J96" s="299"/>
      <c r="K96" s="294"/>
      <c r="L96" s="294"/>
    </row>
    <row r="97" spans="1:12" ht="14.25" hidden="1" outlineLevel="1">
      <c r="A97" s="294"/>
      <c r="B97" s="294"/>
      <c r="C97" s="298"/>
      <c r="D97" s="348" t="s">
        <v>111</v>
      </c>
      <c r="E97" s="331">
        <f>IF(INPUT!D45="yes",MIN(0.3,E104*E114),0)</f>
        <v>0</v>
      </c>
      <c r="F97" s="294" t="s">
        <v>451</v>
      </c>
      <c r="G97" s="294"/>
      <c r="H97" s="294"/>
      <c r="I97" s="299"/>
      <c r="J97" s="299"/>
      <c r="K97" s="294"/>
      <c r="L97" s="294"/>
    </row>
    <row r="98" spans="1:12" ht="14.25" hidden="1" outlineLevel="1">
      <c r="A98" s="294"/>
      <c r="B98" s="294"/>
      <c r="C98" s="298"/>
      <c r="D98" s="346"/>
      <c r="E98" s="313"/>
      <c r="F98" s="313"/>
      <c r="G98" s="313"/>
      <c r="H98" s="313"/>
      <c r="I98" s="344"/>
      <c r="J98" s="299"/>
      <c r="K98" s="294"/>
      <c r="L98" s="294"/>
    </row>
    <row r="99" spans="1:12" ht="14.25" hidden="1" outlineLevel="1">
      <c r="A99" s="294"/>
      <c r="B99" s="294"/>
      <c r="C99" s="298"/>
      <c r="D99" s="294"/>
      <c r="E99" s="294"/>
      <c r="F99" s="294"/>
      <c r="G99" s="294"/>
      <c r="H99" s="294"/>
      <c r="I99" s="294"/>
      <c r="J99" s="299"/>
      <c r="K99" s="294"/>
      <c r="L99" s="294"/>
    </row>
    <row r="100" spans="1:12" ht="14.25" hidden="1" outlineLevel="1">
      <c r="A100" s="294"/>
      <c r="B100" s="294"/>
      <c r="C100" s="298"/>
      <c r="D100" s="294" t="s">
        <v>102</v>
      </c>
      <c r="E100" s="294"/>
      <c r="F100" s="294"/>
      <c r="G100" s="294"/>
      <c r="H100" s="294"/>
      <c r="I100" s="294"/>
      <c r="J100" s="299"/>
      <c r="K100" s="294"/>
      <c r="L100" s="294"/>
    </row>
    <row r="101" spans="1:12" ht="14.25" hidden="1" outlineLevel="1">
      <c r="A101" s="294"/>
      <c r="B101" s="294"/>
      <c r="C101" s="298"/>
      <c r="D101" s="300" t="s">
        <v>157</v>
      </c>
      <c r="E101" s="296"/>
      <c r="F101" s="296"/>
      <c r="G101" s="296"/>
      <c r="H101" s="296"/>
      <c r="I101" s="297"/>
      <c r="J101" s="299"/>
      <c r="K101" s="294"/>
      <c r="L101" s="294"/>
    </row>
    <row r="102" spans="1:12" ht="14.25" hidden="1" outlineLevel="1">
      <c r="A102" s="294"/>
      <c r="B102" s="294"/>
      <c r="C102" s="298"/>
      <c r="D102" s="301" t="s">
        <v>137</v>
      </c>
      <c r="E102" s="294"/>
      <c r="F102" s="294"/>
      <c r="G102" s="294"/>
      <c r="H102" s="294"/>
      <c r="I102" s="299"/>
      <c r="J102" s="299"/>
      <c r="K102" s="294"/>
      <c r="L102" s="294"/>
    </row>
    <row r="103" spans="1:12" ht="14.25" hidden="1" outlineLevel="1">
      <c r="A103" s="294"/>
      <c r="B103" s="294"/>
      <c r="C103" s="298"/>
      <c r="D103" s="302" t="s">
        <v>106</v>
      </c>
      <c r="E103" s="294"/>
      <c r="F103" s="294"/>
      <c r="G103" s="294"/>
      <c r="H103" s="294"/>
      <c r="I103" s="299"/>
      <c r="J103" s="299"/>
      <c r="K103" s="294"/>
      <c r="L103" s="294"/>
    </row>
    <row r="104" spans="1:12" ht="15" customHeight="1" hidden="1" outlineLevel="1">
      <c r="A104" s="294"/>
      <c r="B104" s="294"/>
      <c r="C104" s="298"/>
      <c r="D104" s="303" t="s">
        <v>110</v>
      </c>
      <c r="E104" s="331">
        <f>MAX(0,F106-F112)</f>
        <v>0.317</v>
      </c>
      <c r="F104" s="448" t="s">
        <v>158</v>
      </c>
      <c r="G104" s="448"/>
      <c r="H104" s="448"/>
      <c r="I104" s="449"/>
      <c r="J104" s="299"/>
      <c r="K104" s="294"/>
      <c r="L104" s="294"/>
    </row>
    <row r="105" spans="1:12" ht="14.25" hidden="1" outlineLevel="1">
      <c r="A105" s="294"/>
      <c r="B105" s="294"/>
      <c r="C105" s="298"/>
      <c r="D105" s="303"/>
      <c r="E105" s="304"/>
      <c r="F105" s="448"/>
      <c r="G105" s="448"/>
      <c r="H105" s="448"/>
      <c r="I105" s="449"/>
      <c r="J105" s="299"/>
      <c r="K105" s="294"/>
      <c r="L105" s="294"/>
    </row>
    <row r="106" spans="1:12" ht="14.25" hidden="1" outlineLevel="1">
      <c r="A106" s="294"/>
      <c r="B106" s="294"/>
      <c r="C106" s="298"/>
      <c r="D106" s="303"/>
      <c r="E106" s="328" t="s">
        <v>139</v>
      </c>
      <c r="F106" s="287">
        <f>IF(INPUT!D46&lt;=0.5,-50*MAX(0,INPUT!D46)+38,IF(INPUT!D46&gt;3,'Land Use'!F112,-4.4*INPUT!D46+15.2))/100</f>
        <v>0.33</v>
      </c>
      <c r="G106" s="332" t="s">
        <v>168</v>
      </c>
      <c r="H106" s="330"/>
      <c r="I106" s="310"/>
      <c r="J106" s="299"/>
      <c r="K106" s="294"/>
      <c r="L106" s="294"/>
    </row>
    <row r="107" spans="1:12" ht="14.25" hidden="1" outlineLevel="1">
      <c r="A107" s="294"/>
      <c r="B107" s="294"/>
      <c r="C107" s="298"/>
      <c r="D107" s="303"/>
      <c r="E107" s="328"/>
      <c r="F107" s="329" t="s">
        <v>159</v>
      </c>
      <c r="G107" s="329" t="s">
        <v>160</v>
      </c>
      <c r="H107" s="330"/>
      <c r="I107" s="310"/>
      <c r="J107" s="299"/>
      <c r="K107" s="294"/>
      <c r="L107" s="294"/>
    </row>
    <row r="108" spans="1:12" ht="14.25" hidden="1" outlineLevel="1">
      <c r="A108" s="294"/>
      <c r="B108" s="294"/>
      <c r="C108" s="298"/>
      <c r="D108" s="303"/>
      <c r="E108" s="328"/>
      <c r="F108" s="333" t="s">
        <v>161</v>
      </c>
      <c r="G108" s="334" t="s">
        <v>164</v>
      </c>
      <c r="H108" s="330"/>
      <c r="I108" s="310"/>
      <c r="J108" s="299"/>
      <c r="K108" s="294"/>
      <c r="L108" s="294"/>
    </row>
    <row r="109" spans="1:12" ht="14.25" hidden="1" outlineLevel="1">
      <c r="A109" s="294"/>
      <c r="B109" s="294"/>
      <c r="C109" s="298"/>
      <c r="D109" s="303"/>
      <c r="E109" s="328"/>
      <c r="F109" s="333" t="s">
        <v>162</v>
      </c>
      <c r="G109" s="334" t="s">
        <v>165</v>
      </c>
      <c r="H109" s="330"/>
      <c r="I109" s="310"/>
      <c r="J109" s="299"/>
      <c r="K109" s="294"/>
      <c r="L109" s="294"/>
    </row>
    <row r="110" spans="1:12" ht="14.25" hidden="1" outlineLevel="1">
      <c r="A110" s="294"/>
      <c r="B110" s="294"/>
      <c r="C110" s="298"/>
      <c r="D110" s="303"/>
      <c r="E110" s="328"/>
      <c r="F110" s="335" t="s">
        <v>163</v>
      </c>
      <c r="G110" s="333" t="s">
        <v>166</v>
      </c>
      <c r="H110" s="330"/>
      <c r="I110" s="310"/>
      <c r="J110" s="299"/>
      <c r="K110" s="294"/>
      <c r="L110" s="294"/>
    </row>
    <row r="111" spans="1:12" ht="14.25" hidden="1" outlineLevel="1">
      <c r="A111" s="294"/>
      <c r="B111" s="294"/>
      <c r="C111" s="298"/>
      <c r="D111" s="303"/>
      <c r="E111" s="328"/>
      <c r="F111" s="328"/>
      <c r="G111" s="329"/>
      <c r="H111" s="330"/>
      <c r="I111" s="310"/>
      <c r="J111" s="299"/>
      <c r="K111" s="294"/>
      <c r="L111" s="294"/>
    </row>
    <row r="112" spans="1:12" ht="14.25" hidden="1" outlineLevel="1">
      <c r="A112" s="294"/>
      <c r="B112" s="294"/>
      <c r="C112" s="298"/>
      <c r="D112" s="303"/>
      <c r="E112" s="328" t="s">
        <v>147</v>
      </c>
      <c r="F112" s="331">
        <f>Assumptions!D48</f>
        <v>0.013</v>
      </c>
      <c r="G112" s="446" t="s">
        <v>167</v>
      </c>
      <c r="H112" s="446"/>
      <c r="I112" s="261" t="s">
        <v>347</v>
      </c>
      <c r="J112" s="299"/>
      <c r="K112" s="294"/>
      <c r="L112" s="294"/>
    </row>
    <row r="113" spans="1:12" ht="14.25" hidden="1" outlineLevel="1">
      <c r="A113" s="294"/>
      <c r="B113" s="294"/>
      <c r="C113" s="298"/>
      <c r="D113" s="303"/>
      <c r="E113" s="330"/>
      <c r="F113" s="329"/>
      <c r="G113" s="446"/>
      <c r="H113" s="446"/>
      <c r="I113" s="310"/>
      <c r="J113" s="299"/>
      <c r="K113" s="294"/>
      <c r="L113" s="294"/>
    </row>
    <row r="114" spans="1:12" ht="14.25" hidden="1" outlineLevel="1">
      <c r="A114" s="294"/>
      <c r="B114" s="294"/>
      <c r="C114" s="298"/>
      <c r="D114" s="308" t="s">
        <v>111</v>
      </c>
      <c r="E114" s="336">
        <f>Assumptions!D49</f>
        <v>0.6944444444444444</v>
      </c>
      <c r="F114" s="294" t="s">
        <v>169</v>
      </c>
      <c r="G114" s="294"/>
      <c r="H114" s="294"/>
      <c r="I114" s="261" t="s">
        <v>347</v>
      </c>
      <c r="J114" s="299"/>
      <c r="K114" s="294"/>
      <c r="L114" s="294"/>
    </row>
    <row r="115" spans="1:12" ht="14.25" hidden="1" outlineLevel="1">
      <c r="A115" s="294"/>
      <c r="B115" s="294"/>
      <c r="C115" s="298"/>
      <c r="D115" s="311"/>
      <c r="E115" s="312"/>
      <c r="F115" s="313"/>
      <c r="G115" s="313"/>
      <c r="H115" s="313"/>
      <c r="I115" s="314"/>
      <c r="J115" s="299"/>
      <c r="K115" s="294"/>
      <c r="L115" s="294"/>
    </row>
    <row r="116" spans="1:12" ht="14.25" hidden="1" outlineLevel="1">
      <c r="A116" s="294"/>
      <c r="B116" s="294"/>
      <c r="C116" s="298"/>
      <c r="D116" s="315" t="s">
        <v>353</v>
      </c>
      <c r="E116" s="294"/>
      <c r="F116" s="294"/>
      <c r="G116" s="294"/>
      <c r="H116" s="294"/>
      <c r="I116" s="294"/>
      <c r="J116" s="299"/>
      <c r="K116" s="294"/>
      <c r="L116" s="294"/>
    </row>
    <row r="117" spans="1:12" ht="14.25" hidden="1" outlineLevel="1">
      <c r="A117" s="294"/>
      <c r="B117" s="294"/>
      <c r="C117" s="298"/>
      <c r="D117" s="294"/>
      <c r="E117" s="294"/>
      <c r="F117" s="294"/>
      <c r="G117" s="294"/>
      <c r="H117" s="294"/>
      <c r="I117" s="294"/>
      <c r="J117" s="299"/>
      <c r="K117" s="294"/>
      <c r="L117" s="294"/>
    </row>
    <row r="118" spans="1:12" ht="14.25" collapsed="1">
      <c r="A118" s="294"/>
      <c r="B118" s="294"/>
      <c r="C118" s="443" t="s">
        <v>15</v>
      </c>
      <c r="D118" s="444"/>
      <c r="E118" s="444"/>
      <c r="F118" s="444"/>
      <c r="G118" s="444"/>
      <c r="H118" s="444"/>
      <c r="I118" s="444"/>
      <c r="J118" s="445"/>
      <c r="K118" s="294"/>
      <c r="L118" s="294"/>
    </row>
    <row r="119" spans="1:12" ht="14.25">
      <c r="A119" s="294"/>
      <c r="B119" s="294"/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</row>
    <row r="120" spans="1:12" ht="15" hidden="1" outlineLevel="1" thickBot="1">
      <c r="A120" s="294"/>
      <c r="B120" s="294"/>
      <c r="C120" s="295"/>
      <c r="D120" s="296"/>
      <c r="E120" s="296"/>
      <c r="F120" s="296"/>
      <c r="G120" s="296"/>
      <c r="H120" s="296"/>
      <c r="I120" s="296"/>
      <c r="J120" s="297"/>
      <c r="K120" s="294"/>
      <c r="L120" s="294"/>
    </row>
    <row r="121" spans="1:12" ht="15" hidden="1" outlineLevel="1" thickBot="1">
      <c r="A121" s="294"/>
      <c r="B121" s="294"/>
      <c r="C121" s="298"/>
      <c r="D121" s="286">
        <f>IF(INPUT!D51="yes",MAX(0,0.04*E126),0)</f>
        <v>0</v>
      </c>
      <c r="E121" s="294" t="s">
        <v>103</v>
      </c>
      <c r="F121" s="294"/>
      <c r="G121" s="294"/>
      <c r="H121" s="294"/>
      <c r="I121" s="294"/>
      <c r="J121" s="299"/>
      <c r="K121" s="294"/>
      <c r="L121" s="294"/>
    </row>
    <row r="122" spans="1:12" ht="14.25" hidden="1" outlineLevel="1">
      <c r="A122" s="294"/>
      <c r="B122" s="294"/>
      <c r="C122" s="298"/>
      <c r="D122" s="294"/>
      <c r="E122" s="294"/>
      <c r="F122" s="294"/>
      <c r="G122" s="294"/>
      <c r="H122" s="294"/>
      <c r="I122" s="294"/>
      <c r="J122" s="299"/>
      <c r="K122" s="294"/>
      <c r="L122" s="294"/>
    </row>
    <row r="123" spans="1:12" ht="14.25" hidden="1" outlineLevel="1">
      <c r="A123" s="294"/>
      <c r="B123" s="294"/>
      <c r="C123" s="298"/>
      <c r="D123" s="294" t="s">
        <v>102</v>
      </c>
      <c r="E123" s="294"/>
      <c r="F123" s="294"/>
      <c r="G123" s="294"/>
      <c r="H123" s="294"/>
      <c r="I123" s="294"/>
      <c r="J123" s="299"/>
      <c r="K123" s="294"/>
      <c r="L123" s="294"/>
    </row>
    <row r="124" spans="1:12" ht="14.25" hidden="1" outlineLevel="1">
      <c r="A124" s="294"/>
      <c r="B124" s="294"/>
      <c r="C124" s="298"/>
      <c r="D124" s="300" t="s">
        <v>173</v>
      </c>
      <c r="E124" s="296"/>
      <c r="F124" s="296"/>
      <c r="G124" s="296"/>
      <c r="H124" s="296"/>
      <c r="I124" s="297"/>
      <c r="J124" s="299"/>
      <c r="K124" s="294"/>
      <c r="L124" s="294"/>
    </row>
    <row r="125" spans="1:12" ht="14.25" hidden="1" outlineLevel="1">
      <c r="A125" s="294"/>
      <c r="B125" s="294"/>
      <c r="C125" s="298"/>
      <c r="D125" s="302" t="s">
        <v>106</v>
      </c>
      <c r="E125" s="294"/>
      <c r="F125" s="294"/>
      <c r="G125" s="294"/>
      <c r="H125" s="294"/>
      <c r="I125" s="299"/>
      <c r="J125" s="299"/>
      <c r="K125" s="294"/>
      <c r="L125" s="294"/>
    </row>
    <row r="126" spans="1:12" ht="14.25" hidden="1" outlineLevel="1">
      <c r="A126" s="294"/>
      <c r="B126" s="294"/>
      <c r="C126" s="298"/>
      <c r="D126" s="337" t="s">
        <v>110</v>
      </c>
      <c r="E126" s="331">
        <f>MIN(1,INPUT!D52)</f>
        <v>0.1</v>
      </c>
      <c r="F126" s="294" t="s">
        <v>172</v>
      </c>
      <c r="G126" s="294"/>
      <c r="H126" s="294"/>
      <c r="I126" s="261" t="s">
        <v>348</v>
      </c>
      <c r="J126" s="299"/>
      <c r="K126" s="294"/>
      <c r="L126" s="294"/>
    </row>
    <row r="127" spans="1:12" ht="14.25" hidden="1" outlineLevel="1">
      <c r="A127" s="294"/>
      <c r="B127" s="294"/>
      <c r="C127" s="298"/>
      <c r="D127" s="311"/>
      <c r="E127" s="312"/>
      <c r="F127" s="313"/>
      <c r="G127" s="313"/>
      <c r="H127" s="313"/>
      <c r="I127" s="314"/>
      <c r="J127" s="299"/>
      <c r="K127" s="294"/>
      <c r="L127" s="294"/>
    </row>
    <row r="128" spans="1:12" ht="14.25" hidden="1" outlineLevel="1">
      <c r="A128" s="294"/>
      <c r="B128" s="294"/>
      <c r="C128" s="298"/>
      <c r="D128" s="315" t="s">
        <v>354</v>
      </c>
      <c r="E128" s="294"/>
      <c r="F128" s="294"/>
      <c r="G128" s="294"/>
      <c r="H128" s="294"/>
      <c r="I128" s="294"/>
      <c r="J128" s="299"/>
      <c r="K128" s="294"/>
      <c r="L128" s="294"/>
    </row>
    <row r="129" spans="1:12" ht="14.25" hidden="1" outlineLevel="1">
      <c r="A129" s="294"/>
      <c r="B129" s="294"/>
      <c r="C129" s="298"/>
      <c r="D129" s="294"/>
      <c r="E129" s="294"/>
      <c r="F129" s="294"/>
      <c r="G129" s="294"/>
      <c r="H129" s="294"/>
      <c r="I129" s="294"/>
      <c r="J129" s="299"/>
      <c r="K129" s="294"/>
      <c r="L129" s="294"/>
    </row>
    <row r="130" spans="1:12" ht="14.25" collapsed="1">
      <c r="A130" s="294"/>
      <c r="B130" s="294"/>
      <c r="C130" s="443" t="s">
        <v>16</v>
      </c>
      <c r="D130" s="444"/>
      <c r="E130" s="444"/>
      <c r="F130" s="444"/>
      <c r="G130" s="444"/>
      <c r="H130" s="444"/>
      <c r="I130" s="444"/>
      <c r="J130" s="445"/>
      <c r="K130" s="294"/>
      <c r="L130" s="294"/>
    </row>
    <row r="131" spans="1:12" ht="14.25">
      <c r="A131" s="294"/>
      <c r="B131" s="294"/>
      <c r="C131" s="294"/>
      <c r="D131" s="294"/>
      <c r="E131" s="294"/>
      <c r="F131" s="294"/>
      <c r="G131" s="294"/>
      <c r="H131" s="294"/>
      <c r="I131" s="294"/>
      <c r="J131" s="294"/>
      <c r="K131" s="294"/>
      <c r="L131" s="294"/>
    </row>
    <row r="132" ht="14.25">
      <c r="A132" s="294"/>
    </row>
  </sheetData>
  <sheetProtection password="85AF" sheet="1" objects="1" scenarios="1"/>
  <mergeCells count="17">
    <mergeCell ref="F13:I15"/>
    <mergeCell ref="F32:I34"/>
    <mergeCell ref="F51:I53"/>
    <mergeCell ref="F79:I80"/>
    <mergeCell ref="F104:I105"/>
    <mergeCell ref="C130:J130"/>
    <mergeCell ref="D94:I94"/>
    <mergeCell ref="B4:K4"/>
    <mergeCell ref="C23:J23"/>
    <mergeCell ref="C42:J42"/>
    <mergeCell ref="C70:J70"/>
    <mergeCell ref="C88:J88"/>
    <mergeCell ref="C118:J118"/>
    <mergeCell ref="G82:H83"/>
    <mergeCell ref="G112:H113"/>
    <mergeCell ref="G36:H37"/>
    <mergeCell ref="H17:H18"/>
  </mergeCells>
  <hyperlinks>
    <hyperlink ref="I16" location="INPUT!A1" display="see input tab"/>
    <hyperlink ref="I35" location="INPUT!A1" display="see input tab"/>
    <hyperlink ref="I58" location="INPUT!A1" display="see input tab"/>
    <hyperlink ref="I59" location="INPUT!A1" display="see input tab"/>
    <hyperlink ref="I60" location="INPUT!A1" display="see input tab"/>
    <hyperlink ref="I61" location="INPUT!A1" display="see input tab"/>
    <hyperlink ref="I62" location="INPUT!A1" display="see input tab"/>
    <hyperlink ref="I63" location="INPUT!A1" display="see input tab"/>
    <hyperlink ref="I81" location="INPUT!A1" display="see input tab"/>
    <hyperlink ref="I126" location="INPUT!A1" display="see input tab"/>
    <hyperlink ref="I17" location="Assumptions!A1" display="see assumptions tab"/>
    <hyperlink ref="I36" location="Assumptions!A1" display="see assumptions tab"/>
    <hyperlink ref="I65" location="Assumptions!A1" display="see assumptions tab"/>
    <hyperlink ref="I82" location="Assumptions!A1" display="see assumptions tab"/>
    <hyperlink ref="I112" location="Assumptions!A1" display="see assumptions tab"/>
    <hyperlink ref="I114" location="Assumptions!A1" display="see assumptions tab"/>
  </hyperlink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7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 outlineLevelRow="1"/>
  <cols>
    <col min="1" max="1" width="1.57421875" style="0" customWidth="1"/>
    <col min="2" max="2" width="3.7109375" style="0" customWidth="1"/>
    <col min="3" max="3" width="5.28125" style="0" customWidth="1"/>
    <col min="5" max="9" width="19.140625" style="0" customWidth="1"/>
    <col min="11" max="11" width="3.00390625" style="0" customWidth="1"/>
  </cols>
  <sheetData>
    <row r="1" spans="2:3" ht="14.25">
      <c r="B1" s="75"/>
      <c r="C1" s="76" t="s">
        <v>117</v>
      </c>
    </row>
    <row r="2" spans="2:3" ht="14.25">
      <c r="B2" s="78"/>
      <c r="C2" s="76" t="s">
        <v>118</v>
      </c>
    </row>
    <row r="3" ht="6.75" customHeight="1" thickBot="1"/>
    <row r="4" spans="2:11" ht="18.75" thickBot="1">
      <c r="B4" s="369" t="s">
        <v>19</v>
      </c>
      <c r="C4" s="370"/>
      <c r="D4" s="370"/>
      <c r="E4" s="370"/>
      <c r="F4" s="370"/>
      <c r="G4" s="370"/>
      <c r="H4" s="370"/>
      <c r="I4" s="370"/>
      <c r="J4" s="370"/>
      <c r="K4" s="371"/>
    </row>
    <row r="6" spans="1:12" ht="15" hidden="1" outlineLevel="1" thickBot="1">
      <c r="A6" s="5"/>
      <c r="B6" s="5"/>
      <c r="C6" s="7"/>
      <c r="D6" s="8"/>
      <c r="E6" s="8"/>
      <c r="F6" s="8"/>
      <c r="G6" s="8"/>
      <c r="H6" s="8"/>
      <c r="I6" s="8"/>
      <c r="J6" s="9"/>
      <c r="K6" s="5"/>
      <c r="L6" s="5"/>
    </row>
    <row r="7" spans="1:12" ht="15" hidden="1" outlineLevel="1" thickBot="1">
      <c r="A7" s="5"/>
      <c r="B7" s="5"/>
      <c r="C7" s="10"/>
      <c r="D7" s="109">
        <f>IF(INPUT!D60="yes",VLOOKUP(E11,F14:H15,3,FALSE),0)</f>
        <v>0</v>
      </c>
      <c r="E7" s="5" t="s">
        <v>103</v>
      </c>
      <c r="F7" s="5"/>
      <c r="G7" s="5"/>
      <c r="H7" s="5"/>
      <c r="I7" s="5"/>
      <c r="J7" s="11"/>
      <c r="K7" s="5"/>
      <c r="L7" s="5"/>
    </row>
    <row r="8" spans="1:12" ht="14.25" hidden="1" outlineLevel="1">
      <c r="A8" s="5"/>
      <c r="B8" s="5"/>
      <c r="C8" s="10"/>
      <c r="D8" s="5"/>
      <c r="E8" s="5"/>
      <c r="F8" s="5"/>
      <c r="G8" s="5"/>
      <c r="H8" s="5"/>
      <c r="I8" s="5"/>
      <c r="J8" s="11"/>
      <c r="K8" s="5"/>
      <c r="L8" s="5"/>
    </row>
    <row r="9" spans="1:12" ht="14.25" hidden="1" outlineLevel="1">
      <c r="A9" s="5"/>
      <c r="B9" s="5"/>
      <c r="C9" s="10"/>
      <c r="D9" s="5" t="s">
        <v>102</v>
      </c>
      <c r="E9" s="5"/>
      <c r="F9" s="5"/>
      <c r="G9" s="5"/>
      <c r="H9" s="5"/>
      <c r="I9" s="5"/>
      <c r="J9" s="11"/>
      <c r="K9" s="5"/>
      <c r="L9" s="5"/>
    </row>
    <row r="10" spans="1:12" ht="14.25" hidden="1" outlineLevel="1">
      <c r="A10" s="5"/>
      <c r="B10" s="5"/>
      <c r="C10" s="10"/>
      <c r="D10" s="101"/>
      <c r="E10" s="8"/>
      <c r="F10" s="8"/>
      <c r="G10" s="8"/>
      <c r="H10" s="8"/>
      <c r="I10" s="9"/>
      <c r="J10" s="11"/>
      <c r="K10" s="5"/>
      <c r="L10" s="5"/>
    </row>
    <row r="11" spans="1:12" ht="14.25" hidden="1" outlineLevel="1">
      <c r="A11" s="5"/>
      <c r="B11" s="5"/>
      <c r="C11" s="10"/>
      <c r="D11" s="103"/>
      <c r="E11" s="461" t="str">
        <f>INPUT!D61</f>
        <v>within project and connecting off-site</v>
      </c>
      <c r="F11" s="462"/>
      <c r="G11" s="5" t="s">
        <v>200</v>
      </c>
      <c r="H11" s="5"/>
      <c r="I11" s="261" t="s">
        <v>348</v>
      </c>
      <c r="J11" s="11"/>
      <c r="K11" s="5"/>
      <c r="L11" s="5"/>
    </row>
    <row r="12" spans="1:12" ht="14.25" hidden="1" outlineLevel="1">
      <c r="A12" s="5"/>
      <c r="B12" s="5"/>
      <c r="C12" s="10"/>
      <c r="D12" s="103"/>
      <c r="E12" s="5"/>
      <c r="F12" s="5"/>
      <c r="G12" s="5"/>
      <c r="H12" s="5"/>
      <c r="I12" s="11"/>
      <c r="J12" s="11"/>
      <c r="K12" s="5"/>
      <c r="L12" s="5"/>
    </row>
    <row r="13" spans="1:12" s="130" customFormat="1" ht="28.5" hidden="1" outlineLevel="1">
      <c r="A13" s="152"/>
      <c r="B13" s="152"/>
      <c r="C13" s="153"/>
      <c r="D13" s="154"/>
      <c r="F13" s="463" t="s">
        <v>201</v>
      </c>
      <c r="G13" s="463"/>
      <c r="H13" s="156" t="s">
        <v>192</v>
      </c>
      <c r="I13" s="155"/>
      <c r="J13" s="155"/>
      <c r="K13" s="152"/>
      <c r="L13" s="152"/>
    </row>
    <row r="14" spans="1:12" ht="14.25" hidden="1" outlineLevel="1">
      <c r="A14" s="5"/>
      <c r="B14" s="5"/>
      <c r="C14" s="10"/>
      <c r="D14" s="102"/>
      <c r="F14" s="468" t="s">
        <v>190</v>
      </c>
      <c r="G14" s="469"/>
      <c r="H14" s="184">
        <v>0.02</v>
      </c>
      <c r="I14" s="11"/>
      <c r="J14" s="11"/>
      <c r="K14" s="5"/>
      <c r="L14" s="5"/>
    </row>
    <row r="15" spans="1:12" ht="14.25" hidden="1" outlineLevel="1">
      <c r="A15" s="5"/>
      <c r="B15" s="5"/>
      <c r="C15" s="10"/>
      <c r="D15" s="132"/>
      <c r="F15" s="468" t="s">
        <v>191</v>
      </c>
      <c r="G15" s="469"/>
      <c r="H15" s="198">
        <v>0.01</v>
      </c>
      <c r="I15" s="107"/>
      <c r="J15" s="11"/>
      <c r="K15" s="5"/>
      <c r="L15" s="5"/>
    </row>
    <row r="16" spans="1:12" ht="14.25" hidden="1" outlineLevel="1">
      <c r="A16" s="5"/>
      <c r="B16" s="5"/>
      <c r="C16" s="10"/>
      <c r="D16" s="104"/>
      <c r="E16" s="105"/>
      <c r="F16" s="68"/>
      <c r="G16" s="68"/>
      <c r="H16" s="68"/>
      <c r="I16" s="106"/>
      <c r="J16" s="11"/>
      <c r="K16" s="5"/>
      <c r="L16" s="5"/>
    </row>
    <row r="17" spans="1:12" ht="14.25" hidden="1" outlineLevel="1">
      <c r="A17" s="5"/>
      <c r="B17" s="5"/>
      <c r="C17" s="10"/>
      <c r="D17" s="262" t="s">
        <v>355</v>
      </c>
      <c r="E17" s="5"/>
      <c r="F17" s="5"/>
      <c r="G17" s="5"/>
      <c r="H17" s="5"/>
      <c r="I17" s="5"/>
      <c r="J17" s="11"/>
      <c r="K17" s="5"/>
      <c r="L17" s="5"/>
    </row>
    <row r="18" spans="1:12" ht="14.25" hidden="1" outlineLevel="1">
      <c r="A18" s="5"/>
      <c r="B18" s="5"/>
      <c r="C18" s="10"/>
      <c r="D18" s="5"/>
      <c r="E18" s="5"/>
      <c r="F18" s="5"/>
      <c r="G18" s="5"/>
      <c r="H18" s="5"/>
      <c r="I18" s="5"/>
      <c r="J18" s="11"/>
      <c r="K18" s="5"/>
      <c r="L18" s="5"/>
    </row>
    <row r="19" spans="1:12" ht="15" customHeight="1" collapsed="1">
      <c r="A19" s="5"/>
      <c r="B19" s="5"/>
      <c r="C19" s="363" t="s">
        <v>71</v>
      </c>
      <c r="D19" s="364"/>
      <c r="E19" s="364"/>
      <c r="F19" s="364"/>
      <c r="G19" s="364"/>
      <c r="H19" s="364"/>
      <c r="I19" s="364"/>
      <c r="J19" s="365"/>
      <c r="K19" s="5"/>
      <c r="L19" s="5"/>
    </row>
    <row r="20" spans="1:12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 hidden="1" outlineLevel="1" thickBot="1">
      <c r="A21" s="5"/>
      <c r="B21" s="5"/>
      <c r="C21" s="7"/>
      <c r="D21" s="8"/>
      <c r="E21" s="8"/>
      <c r="F21" s="8"/>
      <c r="G21" s="8"/>
      <c r="H21" s="8"/>
      <c r="I21" s="8"/>
      <c r="J21" s="9"/>
      <c r="K21" s="5"/>
      <c r="L21" s="5"/>
    </row>
    <row r="22" spans="1:12" ht="15" hidden="1" outlineLevel="1" thickBot="1">
      <c r="A22" s="5"/>
      <c r="B22" s="5"/>
      <c r="C22" s="10"/>
      <c r="D22" s="237">
        <f>IF(INPUT!D66="yes",HLOOKUP(E26,Neighborhood!F30:I34,MATCH(E27,Neighborhood!E30:E34,0),FALSE),0)</f>
        <v>0</v>
      </c>
      <c r="E22" s="5" t="s">
        <v>103</v>
      </c>
      <c r="F22" s="5"/>
      <c r="G22" s="5"/>
      <c r="H22" s="5"/>
      <c r="I22" s="5"/>
      <c r="J22" s="11"/>
      <c r="K22" s="5"/>
      <c r="L22" s="5"/>
    </row>
    <row r="23" spans="1:12" ht="14.25" hidden="1" outlineLevel="1">
      <c r="A23" s="5"/>
      <c r="B23" s="5"/>
      <c r="C23" s="10"/>
      <c r="D23" s="5"/>
      <c r="E23" s="5"/>
      <c r="F23" s="5"/>
      <c r="G23" s="5"/>
      <c r="H23" s="5"/>
      <c r="I23" s="5"/>
      <c r="J23" s="11"/>
      <c r="K23" s="5"/>
      <c r="L23" s="5"/>
    </row>
    <row r="24" spans="1:12" ht="14.25" hidden="1" outlineLevel="1">
      <c r="A24" s="5"/>
      <c r="B24" s="5"/>
      <c r="C24" s="10"/>
      <c r="D24" s="5" t="s">
        <v>102</v>
      </c>
      <c r="E24" s="5"/>
      <c r="F24" s="5"/>
      <c r="G24" s="5"/>
      <c r="H24" s="5"/>
      <c r="I24" s="5"/>
      <c r="J24" s="11"/>
      <c r="K24" s="5"/>
      <c r="L24" s="5"/>
    </row>
    <row r="25" spans="1:12" ht="14.25" hidden="1" outlineLevel="1">
      <c r="A25" s="5"/>
      <c r="B25" s="5"/>
      <c r="C25" s="10"/>
      <c r="D25" s="7"/>
      <c r="E25" s="8"/>
      <c r="F25" s="8"/>
      <c r="G25" s="8"/>
      <c r="H25" s="8"/>
      <c r="I25" s="9"/>
      <c r="J25" s="11"/>
      <c r="K25" s="5"/>
      <c r="L25" s="5"/>
    </row>
    <row r="26" spans="1:12" ht="14.25" hidden="1" outlineLevel="1">
      <c r="A26" s="5"/>
      <c r="B26" s="5"/>
      <c r="C26" s="10"/>
      <c r="D26" s="132"/>
      <c r="E26" s="162">
        <f>INPUT!D67</f>
        <v>0.5</v>
      </c>
      <c r="F26" s="5" t="s">
        <v>198</v>
      </c>
      <c r="G26" s="5"/>
      <c r="H26" s="5"/>
      <c r="I26" s="261" t="s">
        <v>348</v>
      </c>
      <c r="J26" s="11"/>
      <c r="K26" s="5"/>
      <c r="L26" s="5"/>
    </row>
    <row r="27" spans="1:12" ht="14.25" hidden="1" outlineLevel="1">
      <c r="A27" s="5"/>
      <c r="B27" s="5"/>
      <c r="C27" s="10"/>
      <c r="D27" s="133"/>
      <c r="E27" s="162">
        <f>INPUT!D69</f>
        <v>0.75</v>
      </c>
      <c r="F27" s="5" t="s">
        <v>199</v>
      </c>
      <c r="G27" s="5"/>
      <c r="H27" s="5"/>
      <c r="I27" s="261" t="s">
        <v>348</v>
      </c>
      <c r="J27" s="11"/>
      <c r="K27" s="5"/>
      <c r="L27" s="5"/>
    </row>
    <row r="28" spans="1:12" ht="14.25" hidden="1" outlineLevel="1">
      <c r="A28" s="5"/>
      <c r="B28" s="5"/>
      <c r="C28" s="10"/>
      <c r="D28" s="10"/>
      <c r="E28" s="5"/>
      <c r="F28" s="5"/>
      <c r="G28" s="5"/>
      <c r="H28" s="5"/>
      <c r="I28" s="11"/>
      <c r="J28" s="11"/>
      <c r="K28" s="5"/>
      <c r="L28" s="5"/>
    </row>
    <row r="29" spans="1:12" ht="14.25" hidden="1" outlineLevel="1">
      <c r="A29" s="5"/>
      <c r="B29" s="5"/>
      <c r="C29" s="10"/>
      <c r="D29" s="470" t="s">
        <v>197</v>
      </c>
      <c r="E29" s="471"/>
      <c r="F29" s="464" t="s">
        <v>195</v>
      </c>
      <c r="G29" s="464"/>
      <c r="H29" s="464"/>
      <c r="I29" s="464"/>
      <c r="J29" s="11"/>
      <c r="K29" s="5"/>
      <c r="L29" s="5"/>
    </row>
    <row r="30" spans="1:12" s="130" customFormat="1" ht="15" customHeight="1" hidden="1" outlineLevel="1">
      <c r="A30" s="152"/>
      <c r="B30" s="152"/>
      <c r="C30" s="153"/>
      <c r="D30" s="470"/>
      <c r="E30" s="471"/>
      <c r="F30" s="157">
        <v>0.25</v>
      </c>
      <c r="G30" s="158">
        <v>0.5</v>
      </c>
      <c r="H30" s="158">
        <v>0.75</v>
      </c>
      <c r="I30" s="158">
        <v>1</v>
      </c>
      <c r="J30" s="155"/>
      <c r="K30" s="152"/>
      <c r="L30" s="152"/>
    </row>
    <row r="31" spans="1:12" ht="25.5" customHeight="1" hidden="1" outlineLevel="1">
      <c r="A31" s="5"/>
      <c r="B31" s="5"/>
      <c r="C31" s="10"/>
      <c r="D31" s="465" t="s">
        <v>196</v>
      </c>
      <c r="E31" s="157">
        <v>0.25</v>
      </c>
      <c r="F31" s="199">
        <v>0.0025</v>
      </c>
      <c r="G31" s="199">
        <v>0.0025</v>
      </c>
      <c r="H31" s="199">
        <v>0.005</v>
      </c>
      <c r="I31" s="199">
        <v>0.005</v>
      </c>
      <c r="J31" s="11"/>
      <c r="K31" s="5"/>
      <c r="L31" s="5"/>
    </row>
    <row r="32" spans="1:12" ht="25.5" customHeight="1" hidden="1" outlineLevel="1">
      <c r="A32" s="5"/>
      <c r="B32" s="5"/>
      <c r="C32" s="10"/>
      <c r="D32" s="466"/>
      <c r="E32" s="158">
        <v>0.5</v>
      </c>
      <c r="F32" s="199">
        <v>0.0025</v>
      </c>
      <c r="G32" s="199">
        <v>0.005</v>
      </c>
      <c r="H32" s="199">
        <v>0.005</v>
      </c>
      <c r="I32" s="199">
        <v>0.0075</v>
      </c>
      <c r="J32" s="11"/>
      <c r="K32" s="5"/>
      <c r="L32" s="5"/>
    </row>
    <row r="33" spans="1:12" ht="25.5" customHeight="1" hidden="1" outlineLevel="1">
      <c r="A33" s="5"/>
      <c r="B33" s="5"/>
      <c r="C33" s="10"/>
      <c r="D33" s="466"/>
      <c r="E33" s="158">
        <v>0.75</v>
      </c>
      <c r="F33" s="199">
        <v>0.005</v>
      </c>
      <c r="G33" s="199">
        <v>0.005</v>
      </c>
      <c r="H33" s="199">
        <v>0.0075</v>
      </c>
      <c r="I33" s="199">
        <v>0.0075</v>
      </c>
      <c r="J33" s="11"/>
      <c r="K33" s="5"/>
      <c r="L33" s="126"/>
    </row>
    <row r="34" spans="1:12" ht="25.5" customHeight="1" hidden="1" outlineLevel="1">
      <c r="A34" s="5"/>
      <c r="B34" s="5"/>
      <c r="C34" s="10"/>
      <c r="D34" s="467"/>
      <c r="E34" s="158">
        <v>1</v>
      </c>
      <c r="F34" s="199">
        <v>0.005</v>
      </c>
      <c r="G34" s="199">
        <v>0.0075</v>
      </c>
      <c r="H34" s="199">
        <v>0.0075</v>
      </c>
      <c r="I34" s="199">
        <v>0.01</v>
      </c>
      <c r="J34" s="11"/>
      <c r="K34" s="5"/>
      <c r="L34" s="126"/>
    </row>
    <row r="35" spans="1:12" ht="14.25" hidden="1" outlineLevel="1">
      <c r="A35" s="5"/>
      <c r="B35" s="5"/>
      <c r="C35" s="10"/>
      <c r="D35" s="104"/>
      <c r="E35" s="105"/>
      <c r="F35" s="68"/>
      <c r="G35" s="68"/>
      <c r="H35" s="68"/>
      <c r="I35" s="106"/>
      <c r="J35" s="11"/>
      <c r="K35" s="5"/>
      <c r="L35" s="5"/>
    </row>
    <row r="36" spans="1:12" ht="14.25" hidden="1" outlineLevel="1">
      <c r="A36" s="5"/>
      <c r="B36" s="5"/>
      <c r="C36" s="10"/>
      <c r="D36" s="262" t="s">
        <v>356</v>
      </c>
      <c r="E36" s="5"/>
      <c r="F36" s="5"/>
      <c r="G36" s="5"/>
      <c r="H36" s="5"/>
      <c r="I36" s="5"/>
      <c r="J36" s="11"/>
      <c r="K36" s="5"/>
      <c r="L36" s="5"/>
    </row>
    <row r="37" spans="1:12" ht="14.25" hidden="1" outlineLevel="1">
      <c r="A37" s="5"/>
      <c r="B37" s="5"/>
      <c r="C37" s="10"/>
      <c r="D37" s="5"/>
      <c r="E37" s="5"/>
      <c r="F37" s="5"/>
      <c r="G37" s="5"/>
      <c r="H37" s="5"/>
      <c r="I37" s="5"/>
      <c r="J37" s="11"/>
      <c r="K37" s="5"/>
      <c r="L37" s="5"/>
    </row>
    <row r="38" spans="1:12" ht="15" customHeight="1" collapsed="1">
      <c r="A38" s="5"/>
      <c r="B38" s="5"/>
      <c r="C38" s="363" t="s">
        <v>74</v>
      </c>
      <c r="D38" s="364"/>
      <c r="E38" s="364"/>
      <c r="F38" s="364"/>
      <c r="G38" s="364"/>
      <c r="H38" s="364"/>
      <c r="I38" s="364"/>
      <c r="J38" s="365"/>
      <c r="K38" s="5"/>
      <c r="L38" s="5"/>
    </row>
    <row r="39" spans="1:12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" hidden="1" outlineLevel="1" thickBot="1">
      <c r="A40" s="5"/>
      <c r="B40" s="5"/>
      <c r="C40" s="7"/>
      <c r="D40" s="8"/>
      <c r="E40" s="8"/>
      <c r="F40" s="8"/>
      <c r="G40" s="8"/>
      <c r="H40" s="8"/>
      <c r="I40" s="8"/>
      <c r="J40" s="9"/>
      <c r="K40" s="5"/>
      <c r="L40" s="5"/>
    </row>
    <row r="41" spans="1:12" ht="15" hidden="1" outlineLevel="1" thickBot="1">
      <c r="A41" s="5"/>
      <c r="B41" s="5"/>
      <c r="C41" s="10"/>
      <c r="D41" s="109">
        <f>IF(INPUT!D75="yes",E46*E47,0)</f>
        <v>0</v>
      </c>
      <c r="E41" s="5" t="s">
        <v>103</v>
      </c>
      <c r="F41" s="5"/>
      <c r="G41" s="5"/>
      <c r="H41" s="5"/>
      <c r="I41" s="5"/>
      <c r="J41" s="11"/>
      <c r="K41" s="5"/>
      <c r="L41" s="5"/>
    </row>
    <row r="42" spans="1:12" ht="14.25" hidden="1" outlineLevel="1">
      <c r="A42" s="5"/>
      <c r="B42" s="5"/>
      <c r="C42" s="10"/>
      <c r="D42" s="5"/>
      <c r="E42" s="5"/>
      <c r="F42" s="5"/>
      <c r="G42" s="5"/>
      <c r="H42" s="5"/>
      <c r="I42" s="5"/>
      <c r="J42" s="11"/>
      <c r="K42" s="5"/>
      <c r="L42" s="5"/>
    </row>
    <row r="43" spans="1:12" ht="14.25" hidden="1" outlineLevel="1">
      <c r="A43" s="5"/>
      <c r="B43" s="5"/>
      <c r="C43" s="10"/>
      <c r="D43" s="5" t="s">
        <v>102</v>
      </c>
      <c r="E43" s="5"/>
      <c r="F43" s="5"/>
      <c r="G43" s="5"/>
      <c r="H43" s="5"/>
      <c r="I43" s="5"/>
      <c r="J43" s="11"/>
      <c r="K43" s="5"/>
      <c r="L43" s="5"/>
    </row>
    <row r="44" spans="1:12" ht="14.25" hidden="1" outlineLevel="1">
      <c r="A44" s="5"/>
      <c r="B44" s="5"/>
      <c r="C44" s="10"/>
      <c r="D44" s="101" t="s">
        <v>378</v>
      </c>
      <c r="E44" s="8"/>
      <c r="F44" s="8"/>
      <c r="G44" s="8"/>
      <c r="H44" s="8"/>
      <c r="I44" s="9"/>
      <c r="J44" s="11"/>
      <c r="K44" s="5"/>
      <c r="L44" s="5"/>
    </row>
    <row r="45" spans="1:12" ht="14.25" hidden="1" outlineLevel="1">
      <c r="A45" s="5"/>
      <c r="B45" s="5"/>
      <c r="C45" s="10"/>
      <c r="D45" s="102" t="s">
        <v>106</v>
      </c>
      <c r="E45" s="5"/>
      <c r="F45" s="5"/>
      <c r="G45" s="5"/>
      <c r="H45" s="5"/>
      <c r="I45" s="11"/>
      <c r="J45" s="11"/>
      <c r="K45" s="5"/>
      <c r="L45" s="5"/>
    </row>
    <row r="46" spans="1:12" ht="14.25" hidden="1" outlineLevel="1">
      <c r="A46" s="5"/>
      <c r="B46" s="5"/>
      <c r="C46" s="10"/>
      <c r="D46" s="132" t="s">
        <v>110</v>
      </c>
      <c r="E46" s="77">
        <f>1/INPUT!E76</f>
        <v>0.1</v>
      </c>
      <c r="F46" s="5" t="s">
        <v>324</v>
      </c>
      <c r="G46" s="5"/>
      <c r="H46" s="5"/>
      <c r="I46" s="107"/>
      <c r="J46" s="11"/>
      <c r="K46" s="5"/>
      <c r="L46" s="5"/>
    </row>
    <row r="47" spans="1:12" ht="14.25" hidden="1" outlineLevel="1">
      <c r="A47" s="5"/>
      <c r="B47" s="5"/>
      <c r="C47" s="10"/>
      <c r="D47" s="133" t="s">
        <v>111</v>
      </c>
      <c r="E47" s="223">
        <v>0.127</v>
      </c>
      <c r="F47" s="5" t="s">
        <v>202</v>
      </c>
      <c r="G47" s="5"/>
      <c r="H47" s="5"/>
      <c r="I47" s="107"/>
      <c r="J47" s="11"/>
      <c r="K47" s="5"/>
      <c r="L47" s="5"/>
    </row>
    <row r="48" spans="1:12" ht="14.25" hidden="1" outlineLevel="1">
      <c r="A48" s="5"/>
      <c r="B48" s="5"/>
      <c r="C48" s="10"/>
      <c r="D48" s="104"/>
      <c r="E48" s="105"/>
      <c r="F48" s="68"/>
      <c r="G48" s="68"/>
      <c r="H48" s="68"/>
      <c r="I48" s="106"/>
      <c r="J48" s="11"/>
      <c r="K48" s="5"/>
      <c r="L48" s="5"/>
    </row>
    <row r="49" spans="1:12" ht="14.25" hidden="1" outlineLevel="1">
      <c r="A49" s="5"/>
      <c r="B49" s="5"/>
      <c r="C49" s="10"/>
      <c r="D49" s="262" t="s">
        <v>357</v>
      </c>
      <c r="E49" s="72"/>
      <c r="F49" s="5"/>
      <c r="G49" s="5"/>
      <c r="H49" s="5"/>
      <c r="I49" s="12"/>
      <c r="J49" s="11"/>
      <c r="K49" s="5"/>
      <c r="L49" s="5"/>
    </row>
    <row r="50" spans="1:12" ht="14.25" hidden="1" outlineLevel="1">
      <c r="A50" s="5"/>
      <c r="B50" s="5"/>
      <c r="C50" s="10"/>
      <c r="D50" s="5"/>
      <c r="E50" s="5"/>
      <c r="F50" s="5"/>
      <c r="G50" s="5"/>
      <c r="H50" s="5"/>
      <c r="I50" s="5"/>
      <c r="J50" s="11"/>
      <c r="K50" s="5"/>
      <c r="L50" s="5"/>
    </row>
    <row r="51" spans="1:12" ht="15" customHeight="1" collapsed="1">
      <c r="A51" s="5"/>
      <c r="B51" s="5"/>
      <c r="C51" s="363" t="s">
        <v>78</v>
      </c>
      <c r="D51" s="364"/>
      <c r="E51" s="364"/>
      <c r="F51" s="364"/>
      <c r="G51" s="364"/>
      <c r="H51" s="364"/>
      <c r="I51" s="364"/>
      <c r="J51" s="365"/>
      <c r="K51" s="5"/>
      <c r="L51" s="5"/>
    </row>
    <row r="52" spans="1:12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 hidden="1" outlineLevel="1" thickBot="1">
      <c r="A53" s="5"/>
      <c r="B53" s="5"/>
      <c r="C53" s="7"/>
      <c r="D53" s="8"/>
      <c r="E53" s="8"/>
      <c r="F53" s="8"/>
      <c r="G53" s="8"/>
      <c r="H53" s="8"/>
      <c r="I53" s="8"/>
      <c r="J53" s="9"/>
      <c r="K53" s="5"/>
      <c r="L53" s="5"/>
    </row>
    <row r="54" spans="1:12" ht="15" hidden="1" outlineLevel="1" thickBot="1">
      <c r="A54" s="5"/>
      <c r="B54" s="5"/>
      <c r="C54" s="10"/>
      <c r="D54" s="109">
        <f>IF(INPUT!D82="yes",E60*E65/E66,0)</f>
        <v>0</v>
      </c>
      <c r="E54" s="5" t="s">
        <v>103</v>
      </c>
      <c r="F54" s="5"/>
      <c r="G54" s="5"/>
      <c r="H54" s="5"/>
      <c r="I54" s="5"/>
      <c r="J54" s="11"/>
      <c r="K54" s="5"/>
      <c r="L54" s="5"/>
    </row>
    <row r="55" spans="1:12" ht="14.25" hidden="1" outlineLevel="1">
      <c r="A55" s="5"/>
      <c r="B55" s="5"/>
      <c r="C55" s="10"/>
      <c r="D55" s="5"/>
      <c r="E55" s="5"/>
      <c r="F55" s="5"/>
      <c r="G55" s="5"/>
      <c r="H55" s="5"/>
      <c r="I55" s="5"/>
      <c r="J55" s="11"/>
      <c r="K55" s="5"/>
      <c r="L55" s="5"/>
    </row>
    <row r="56" spans="1:12" ht="14.25" hidden="1" outlineLevel="1">
      <c r="A56" s="5"/>
      <c r="B56" s="5"/>
      <c r="C56" s="10"/>
      <c r="D56" s="5" t="s">
        <v>102</v>
      </c>
      <c r="E56" s="5"/>
      <c r="F56" s="5"/>
      <c r="G56" s="5"/>
      <c r="H56" s="5"/>
      <c r="I56" s="5"/>
      <c r="J56" s="11"/>
      <c r="K56" s="5"/>
      <c r="L56" s="5"/>
    </row>
    <row r="57" spans="1:12" ht="14.25" hidden="1" outlineLevel="1">
      <c r="A57" s="5"/>
      <c r="B57" s="5"/>
      <c r="C57" s="10"/>
      <c r="D57" s="455" t="s">
        <v>205</v>
      </c>
      <c r="E57" s="456"/>
      <c r="F57" s="456"/>
      <c r="G57" s="456"/>
      <c r="H57" s="456"/>
      <c r="I57" s="457"/>
      <c r="J57" s="11"/>
      <c r="K57" s="5"/>
      <c r="L57" s="5"/>
    </row>
    <row r="58" spans="1:12" ht="14.25" hidden="1" outlineLevel="1">
      <c r="A58" s="5"/>
      <c r="B58" s="5"/>
      <c r="C58" s="10"/>
      <c r="D58" s="458"/>
      <c r="E58" s="459"/>
      <c r="F58" s="459"/>
      <c r="G58" s="459"/>
      <c r="H58" s="459"/>
      <c r="I58" s="460"/>
      <c r="J58" s="11"/>
      <c r="K58" s="5"/>
      <c r="L58" s="5"/>
    </row>
    <row r="59" spans="1:12" ht="14.25" hidden="1" outlineLevel="1">
      <c r="A59" s="5"/>
      <c r="B59" s="5"/>
      <c r="C59" s="10"/>
      <c r="D59" s="102" t="s">
        <v>106</v>
      </c>
      <c r="E59" s="5"/>
      <c r="F59" s="5"/>
      <c r="G59" s="5"/>
      <c r="H59" s="5"/>
      <c r="I59" s="11"/>
      <c r="J59" s="11"/>
      <c r="K59" s="5"/>
      <c r="L59" s="5"/>
    </row>
    <row r="60" spans="1:12" ht="14.25" hidden="1" outlineLevel="1">
      <c r="A60" s="5"/>
      <c r="B60" s="5"/>
      <c r="C60" s="10"/>
      <c r="D60" s="132" t="s">
        <v>110</v>
      </c>
      <c r="E60" s="234">
        <f>VLOOKUP(INPUT!D83,Neighborhood!F62:H64,3,FALSE)</f>
        <v>0.5</v>
      </c>
      <c r="F60" s="5" t="s">
        <v>206</v>
      </c>
      <c r="G60" s="5"/>
      <c r="H60" s="5"/>
      <c r="I60" s="107"/>
      <c r="J60" s="11"/>
      <c r="K60" s="5"/>
      <c r="L60" s="5"/>
    </row>
    <row r="61" spans="1:12" ht="16.5" hidden="1" outlineLevel="1">
      <c r="A61" s="5"/>
      <c r="B61" s="5"/>
      <c r="C61" s="10"/>
      <c r="D61" s="132"/>
      <c r="E61" s="163"/>
      <c r="F61" s="453" t="s">
        <v>313</v>
      </c>
      <c r="G61" s="453"/>
      <c r="H61" s="338" t="s">
        <v>437</v>
      </c>
      <c r="I61" s="107"/>
      <c r="J61" s="11"/>
      <c r="K61" s="5"/>
      <c r="L61" s="5"/>
    </row>
    <row r="62" spans="1:12" ht="14.25" hidden="1" outlineLevel="1">
      <c r="A62" s="5"/>
      <c r="B62" s="5"/>
      <c r="C62" s="10"/>
      <c r="D62" s="132"/>
      <c r="E62" s="163"/>
      <c r="F62" s="453" t="s">
        <v>310</v>
      </c>
      <c r="G62" s="453" t="s">
        <v>310</v>
      </c>
      <c r="H62" s="228">
        <v>0.5</v>
      </c>
      <c r="I62" s="107"/>
      <c r="J62" s="11"/>
      <c r="K62" s="5"/>
      <c r="L62" s="258"/>
    </row>
    <row r="63" spans="1:12" ht="14.25" hidden="1" outlineLevel="1">
      <c r="A63" s="5"/>
      <c r="B63" s="5"/>
      <c r="C63" s="10"/>
      <c r="D63" s="132"/>
      <c r="E63" s="163"/>
      <c r="F63" s="453" t="s">
        <v>323</v>
      </c>
      <c r="G63" s="453" t="s">
        <v>311</v>
      </c>
      <c r="H63" s="228">
        <v>0.75</v>
      </c>
      <c r="I63" s="107"/>
      <c r="J63" s="11"/>
      <c r="K63" s="5"/>
      <c r="L63" s="5"/>
    </row>
    <row r="64" spans="1:12" ht="14.25" hidden="1" outlineLevel="1">
      <c r="A64" s="5"/>
      <c r="B64" s="5"/>
      <c r="C64" s="10"/>
      <c r="D64" s="133"/>
      <c r="E64" s="163"/>
      <c r="F64" s="453" t="s">
        <v>312</v>
      </c>
      <c r="G64" s="453" t="s">
        <v>312</v>
      </c>
      <c r="H64" s="228">
        <v>0.37</v>
      </c>
      <c r="I64" s="107"/>
      <c r="J64" s="11"/>
      <c r="K64" s="5"/>
      <c r="L64" s="5"/>
    </row>
    <row r="65" spans="1:12" ht="14.25" hidden="1" outlineLevel="1">
      <c r="A65" s="5"/>
      <c r="B65" s="5"/>
      <c r="C65" s="10"/>
      <c r="D65" s="133" t="s">
        <v>111</v>
      </c>
      <c r="E65" s="231">
        <v>20</v>
      </c>
      <c r="F65" s="232" t="s">
        <v>207</v>
      </c>
      <c r="G65" s="177"/>
      <c r="H65" s="177"/>
      <c r="I65" s="261"/>
      <c r="J65" s="11"/>
      <c r="K65" s="5"/>
      <c r="L65" s="5"/>
    </row>
    <row r="66" spans="1:12" ht="14.25" hidden="1" outlineLevel="1">
      <c r="A66" s="5"/>
      <c r="B66" s="5"/>
      <c r="C66" s="10"/>
      <c r="D66" s="135" t="s">
        <v>112</v>
      </c>
      <c r="E66" s="233">
        <f>VLOOKUP(INPUT!C7,Neighborhood!F68:H72,2,FALSE)</f>
        <v>2000</v>
      </c>
      <c r="F66" s="5" t="s">
        <v>250</v>
      </c>
      <c r="G66" s="5"/>
      <c r="H66" s="5"/>
      <c r="I66" s="107"/>
      <c r="J66" s="11"/>
      <c r="K66" s="5"/>
      <c r="L66" s="5"/>
    </row>
    <row r="67" spans="1:12" ht="14.25" hidden="1" outlineLevel="1">
      <c r="A67" s="5"/>
      <c r="B67" s="5"/>
      <c r="C67" s="10"/>
      <c r="D67" s="135"/>
      <c r="E67" s="163"/>
      <c r="F67" s="164" t="s">
        <v>208</v>
      </c>
      <c r="G67" s="472" t="s">
        <v>209</v>
      </c>
      <c r="H67" s="472"/>
      <c r="I67" s="107"/>
      <c r="J67" s="11"/>
      <c r="K67" s="5"/>
      <c r="L67" s="5"/>
    </row>
    <row r="68" spans="1:12" ht="14.25" hidden="1" outlineLevel="1">
      <c r="A68" s="5"/>
      <c r="B68" s="5"/>
      <c r="C68" s="10"/>
      <c r="D68" s="135"/>
      <c r="E68" s="163"/>
      <c r="F68" s="164" t="s">
        <v>221</v>
      </c>
      <c r="G68" s="454">
        <v>1000</v>
      </c>
      <c r="H68" s="454"/>
      <c r="I68" s="107"/>
      <c r="J68" s="11"/>
      <c r="K68" s="5"/>
      <c r="L68" s="5"/>
    </row>
    <row r="69" spans="1:12" ht="14.25" hidden="1" outlineLevel="1">
      <c r="A69" s="5"/>
      <c r="B69" s="5"/>
      <c r="C69" s="10"/>
      <c r="D69" s="135"/>
      <c r="E69" s="163"/>
      <c r="F69" s="160" t="s">
        <v>220</v>
      </c>
      <c r="G69" s="454">
        <v>1000</v>
      </c>
      <c r="H69" s="454"/>
      <c r="I69" s="107"/>
      <c r="J69" s="11"/>
      <c r="K69" s="5"/>
      <c r="L69" s="5"/>
    </row>
    <row r="70" spans="1:12" ht="14.25" hidden="1" outlineLevel="1">
      <c r="A70" s="5"/>
      <c r="B70" s="5"/>
      <c r="C70" s="10"/>
      <c r="D70" s="135"/>
      <c r="E70" s="163"/>
      <c r="F70" s="160" t="s">
        <v>232</v>
      </c>
      <c r="G70" s="454">
        <v>1000</v>
      </c>
      <c r="H70" s="454"/>
      <c r="I70" s="107"/>
      <c r="J70" s="11"/>
      <c r="K70" s="5"/>
      <c r="L70" s="5"/>
    </row>
    <row r="71" spans="1:12" ht="14.25" hidden="1" outlineLevel="1">
      <c r="A71" s="5"/>
      <c r="B71" s="5"/>
      <c r="C71" s="10"/>
      <c r="D71" s="135"/>
      <c r="E71" s="163"/>
      <c r="F71" s="160" t="s">
        <v>233</v>
      </c>
      <c r="G71" s="454">
        <v>2000</v>
      </c>
      <c r="H71" s="454"/>
      <c r="I71" s="107"/>
      <c r="J71" s="11"/>
      <c r="K71" s="5"/>
      <c r="L71" s="5"/>
    </row>
    <row r="72" spans="1:12" ht="14.25" hidden="1" outlineLevel="1">
      <c r="A72" s="5"/>
      <c r="B72" s="5"/>
      <c r="C72" s="10"/>
      <c r="D72" s="135"/>
      <c r="E72" s="163"/>
      <c r="F72" s="160" t="s">
        <v>219</v>
      </c>
      <c r="G72" s="454">
        <v>2000</v>
      </c>
      <c r="H72" s="454"/>
      <c r="I72" s="107"/>
      <c r="J72" s="11"/>
      <c r="K72" s="5"/>
      <c r="L72" s="5"/>
    </row>
    <row r="73" spans="1:12" ht="14.25" hidden="1" outlineLevel="1">
      <c r="A73" s="5"/>
      <c r="B73" s="5"/>
      <c r="C73" s="10"/>
      <c r="D73" s="104"/>
      <c r="E73" s="105"/>
      <c r="F73" s="68"/>
      <c r="G73" s="68"/>
      <c r="H73" s="68"/>
      <c r="I73" s="106"/>
      <c r="J73" s="11"/>
      <c r="K73" s="5"/>
      <c r="L73" s="5"/>
    </row>
    <row r="74" spans="1:12" ht="14.25" hidden="1" outlineLevel="1">
      <c r="A74" s="5"/>
      <c r="B74" s="5"/>
      <c r="C74" s="10"/>
      <c r="D74" s="262" t="s">
        <v>438</v>
      </c>
      <c r="E74" s="72"/>
      <c r="F74" s="5"/>
      <c r="G74" s="5"/>
      <c r="H74" s="5"/>
      <c r="I74" s="12"/>
      <c r="J74" s="11"/>
      <c r="K74" s="5"/>
      <c r="L74" s="5"/>
    </row>
    <row r="75" spans="1:12" ht="14.25" hidden="1" outlineLevel="1">
      <c r="A75" s="5"/>
      <c r="B75" s="5"/>
      <c r="C75" s="10"/>
      <c r="D75" s="5"/>
      <c r="E75" s="5"/>
      <c r="F75" s="5"/>
      <c r="G75" s="5"/>
      <c r="H75" s="5"/>
      <c r="I75" s="5"/>
      <c r="J75" s="11"/>
      <c r="K75" s="5"/>
      <c r="L75" s="5"/>
    </row>
    <row r="76" spans="1:12" ht="15" customHeight="1" collapsed="1">
      <c r="A76" s="5"/>
      <c r="B76" s="5"/>
      <c r="C76" s="363" t="s">
        <v>119</v>
      </c>
      <c r="D76" s="364"/>
      <c r="E76" s="364"/>
      <c r="F76" s="364"/>
      <c r="G76" s="364"/>
      <c r="H76" s="364"/>
      <c r="I76" s="364"/>
      <c r="J76" s="365"/>
      <c r="K76" s="5"/>
      <c r="L76" s="5"/>
    </row>
  </sheetData>
  <sheetProtection password="85AF" sheet="1" objects="1" scenarios="1"/>
  <mergeCells count="23">
    <mergeCell ref="F15:G15"/>
    <mergeCell ref="D29:E30"/>
    <mergeCell ref="F63:G63"/>
    <mergeCell ref="G72:H72"/>
    <mergeCell ref="G71:H71"/>
    <mergeCell ref="G67:H67"/>
    <mergeCell ref="B4:K4"/>
    <mergeCell ref="C19:J19"/>
    <mergeCell ref="C38:J38"/>
    <mergeCell ref="C51:J51"/>
    <mergeCell ref="D57:I58"/>
    <mergeCell ref="E11:F11"/>
    <mergeCell ref="F13:G13"/>
    <mergeCell ref="F29:I29"/>
    <mergeCell ref="D31:D34"/>
    <mergeCell ref="F14:G14"/>
    <mergeCell ref="C76:J76"/>
    <mergeCell ref="F64:G64"/>
    <mergeCell ref="G68:H68"/>
    <mergeCell ref="G69:H69"/>
    <mergeCell ref="G70:H70"/>
    <mergeCell ref="F61:G61"/>
    <mergeCell ref="F62:G62"/>
  </mergeCells>
  <hyperlinks>
    <hyperlink ref="I11" location="INPUT!A1" display="see input tab"/>
    <hyperlink ref="I26" location="INPUT!A1" display="see input tab"/>
    <hyperlink ref="I27" location="INPUT!A1" display="see input tab"/>
  </hyperlink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9"/>
  <sheetViews>
    <sheetView zoomScale="80" zoomScaleNormal="80" zoomScalePageLayoutView="0" workbookViewId="0" topLeftCell="A1">
      <selection activeCell="A1" sqref="A1"/>
    </sheetView>
  </sheetViews>
  <sheetFormatPr defaultColWidth="9.140625" defaultRowHeight="15" outlineLevelRow="1"/>
  <cols>
    <col min="1" max="1" width="1.7109375" style="0" customWidth="1"/>
    <col min="2" max="2" width="3.140625" style="0" customWidth="1"/>
    <col min="3" max="3" width="5.8515625" style="0" customWidth="1"/>
    <col min="5" max="7" width="16.00390625" style="0" customWidth="1"/>
    <col min="8" max="8" width="17.421875" style="0" customWidth="1"/>
    <col min="9" max="9" width="22.57421875" style="0" customWidth="1"/>
    <col min="10" max="10" width="6.00390625" style="0" customWidth="1"/>
    <col min="11" max="11" width="3.8515625" style="0" customWidth="1"/>
  </cols>
  <sheetData>
    <row r="1" spans="2:3" ht="14.25">
      <c r="B1" s="75"/>
      <c r="C1" s="76" t="s">
        <v>117</v>
      </c>
    </row>
    <row r="2" spans="2:3" ht="14.25">
      <c r="B2" s="78"/>
      <c r="C2" s="76" t="s">
        <v>118</v>
      </c>
    </row>
    <row r="3" ht="7.5" customHeight="1" thickBot="1"/>
    <row r="4" spans="2:11" ht="18.75" thickBot="1">
      <c r="B4" s="385" t="s">
        <v>20</v>
      </c>
      <c r="C4" s="386"/>
      <c r="D4" s="386"/>
      <c r="E4" s="386"/>
      <c r="F4" s="386"/>
      <c r="G4" s="386"/>
      <c r="H4" s="386"/>
      <c r="I4" s="386"/>
      <c r="J4" s="386"/>
      <c r="K4" s="387"/>
    </row>
    <row r="5" ht="14.25">
      <c r="A5" s="5"/>
    </row>
    <row r="6" spans="1:12" ht="15" hidden="1" outlineLevel="1" thickBot="1">
      <c r="A6" s="5"/>
      <c r="B6" s="5"/>
      <c r="C6" s="7"/>
      <c r="D6" s="8"/>
      <c r="E6" s="8"/>
      <c r="F6" s="8"/>
      <c r="G6" s="8"/>
      <c r="H6" s="8"/>
      <c r="I6" s="8"/>
      <c r="J6" s="9"/>
      <c r="K6" s="5"/>
      <c r="L6" s="5"/>
    </row>
    <row r="7" spans="1:12" ht="15" hidden="1" outlineLevel="1" thickBot="1">
      <c r="A7" s="5"/>
      <c r="B7" s="5"/>
      <c r="C7" s="10"/>
      <c r="D7" s="109">
        <f>IF(INPUT!D91="yes",(E12-E13)/E12*0.5,0)</f>
        <v>0</v>
      </c>
      <c r="E7" s="5" t="s">
        <v>103</v>
      </c>
      <c r="F7" s="5"/>
      <c r="G7" s="5"/>
      <c r="H7" s="5"/>
      <c r="I7" s="5"/>
      <c r="J7" s="11"/>
      <c r="K7" s="5"/>
      <c r="L7" s="5"/>
    </row>
    <row r="8" spans="1:12" ht="14.25" hidden="1" outlineLevel="1">
      <c r="A8" s="5"/>
      <c r="B8" s="5"/>
      <c r="C8" s="10"/>
      <c r="D8" s="5"/>
      <c r="E8" s="5"/>
      <c r="F8" s="5"/>
      <c r="G8" s="5"/>
      <c r="H8" s="5"/>
      <c r="I8" s="5"/>
      <c r="J8" s="11"/>
      <c r="K8" s="5"/>
      <c r="L8" s="5"/>
    </row>
    <row r="9" spans="1:12" ht="14.25" hidden="1" outlineLevel="1">
      <c r="A9" s="5"/>
      <c r="B9" s="5"/>
      <c r="C9" s="10"/>
      <c r="D9" s="5" t="s">
        <v>102</v>
      </c>
      <c r="E9" s="5"/>
      <c r="F9" s="5"/>
      <c r="G9" s="5"/>
      <c r="H9" s="5"/>
      <c r="I9" s="5"/>
      <c r="J9" s="11"/>
      <c r="K9" s="5"/>
      <c r="L9" s="5"/>
    </row>
    <row r="10" spans="1:12" ht="14.25" hidden="1" outlineLevel="1">
      <c r="A10" s="5"/>
      <c r="B10" s="5"/>
      <c r="C10" s="10"/>
      <c r="D10" s="101" t="s">
        <v>413</v>
      </c>
      <c r="E10" s="8"/>
      <c r="F10" s="8"/>
      <c r="G10" s="8"/>
      <c r="H10" s="8"/>
      <c r="I10" s="9"/>
      <c r="J10" s="11"/>
      <c r="K10" s="5"/>
      <c r="L10" s="5"/>
    </row>
    <row r="11" spans="1:12" ht="14.25" hidden="1" outlineLevel="1">
      <c r="A11" s="5"/>
      <c r="B11" s="5"/>
      <c r="C11" s="10"/>
      <c r="D11" s="102" t="s">
        <v>106</v>
      </c>
      <c r="E11" s="5"/>
      <c r="F11" s="5"/>
      <c r="G11" s="5"/>
      <c r="H11" s="5"/>
      <c r="I11" s="11"/>
      <c r="J11" s="11"/>
      <c r="K11" s="5"/>
      <c r="L11" s="5"/>
    </row>
    <row r="12" spans="1:12" ht="14.25" hidden="1" outlineLevel="1">
      <c r="A12" s="5"/>
      <c r="B12" s="5"/>
      <c r="C12" s="10"/>
      <c r="D12" s="132" t="s">
        <v>110</v>
      </c>
      <c r="E12" s="77">
        <f>MAX(0,INPUT!D92)</f>
        <v>75</v>
      </c>
      <c r="F12" s="5" t="s">
        <v>411</v>
      </c>
      <c r="G12" s="5"/>
      <c r="H12" s="5"/>
      <c r="I12" s="261" t="s">
        <v>348</v>
      </c>
      <c r="J12" s="11"/>
      <c r="K12" s="5"/>
      <c r="L12" s="5"/>
    </row>
    <row r="13" spans="1:12" ht="14.25" hidden="1" outlineLevel="1">
      <c r="A13" s="5"/>
      <c r="B13" s="5"/>
      <c r="C13" s="10"/>
      <c r="D13" s="133" t="s">
        <v>111</v>
      </c>
      <c r="E13" s="77">
        <f>MAX(0,INPUT!D93)</f>
        <v>50</v>
      </c>
      <c r="F13" s="5" t="s">
        <v>412</v>
      </c>
      <c r="G13" s="5"/>
      <c r="H13" s="5"/>
      <c r="I13" s="261" t="s">
        <v>348</v>
      </c>
      <c r="J13" s="11"/>
      <c r="K13" s="5"/>
      <c r="L13" s="5"/>
    </row>
    <row r="14" spans="1:12" ht="14.25" hidden="1" outlineLevel="1">
      <c r="A14" s="5"/>
      <c r="B14" s="5"/>
      <c r="C14" s="10"/>
      <c r="D14" s="104"/>
      <c r="E14" s="105"/>
      <c r="F14" s="68"/>
      <c r="G14" s="68"/>
      <c r="H14" s="68"/>
      <c r="I14" s="106"/>
      <c r="J14" s="11"/>
      <c r="K14" s="5"/>
      <c r="L14" s="5"/>
    </row>
    <row r="15" spans="1:12" ht="14.25" hidden="1" outlineLevel="1">
      <c r="A15" s="5"/>
      <c r="B15" s="5"/>
      <c r="C15" s="10"/>
      <c r="D15" s="262" t="s">
        <v>358</v>
      </c>
      <c r="E15" s="72"/>
      <c r="F15" s="5"/>
      <c r="G15" s="5"/>
      <c r="H15" s="5"/>
      <c r="I15" s="12"/>
      <c r="J15" s="11"/>
      <c r="K15" s="5"/>
      <c r="L15" s="5"/>
    </row>
    <row r="16" spans="1:12" ht="14.25" hidden="1" outlineLevel="1">
      <c r="A16" s="5"/>
      <c r="B16" s="5"/>
      <c r="C16" s="10"/>
      <c r="D16" s="5"/>
      <c r="E16" s="5"/>
      <c r="F16" s="5"/>
      <c r="G16" s="5"/>
      <c r="H16" s="5"/>
      <c r="I16" s="5"/>
      <c r="J16" s="11"/>
      <c r="K16" s="5"/>
      <c r="L16" s="5"/>
    </row>
    <row r="17" spans="1:12" ht="14.25" collapsed="1">
      <c r="A17" s="5"/>
      <c r="B17" s="5"/>
      <c r="C17" s="372" t="s">
        <v>72</v>
      </c>
      <c r="D17" s="373"/>
      <c r="E17" s="373"/>
      <c r="F17" s="373"/>
      <c r="G17" s="373"/>
      <c r="H17" s="373"/>
      <c r="I17" s="373"/>
      <c r="J17" s="374"/>
      <c r="K17" s="5"/>
      <c r="L17" s="5"/>
    </row>
    <row r="18" spans="1:12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 hidden="1" outlineLevel="1" thickBot="1">
      <c r="A19" s="5"/>
      <c r="B19" s="5"/>
      <c r="C19" s="7"/>
      <c r="D19" s="8"/>
      <c r="E19" s="8"/>
      <c r="F19" s="8"/>
      <c r="G19" s="8"/>
      <c r="H19" s="8"/>
      <c r="I19" s="8"/>
      <c r="J19" s="9"/>
      <c r="K19" s="5"/>
      <c r="L19" s="5"/>
    </row>
    <row r="20" spans="1:12" ht="15" hidden="1" outlineLevel="1" thickBot="1">
      <c r="A20" s="5"/>
      <c r="B20" s="5"/>
      <c r="C20" s="10"/>
      <c r="D20" s="109">
        <f>IF(INPUT!D98="yes",(F26*12)/F27*E28*(-1)*E29,0)</f>
        <v>0</v>
      </c>
      <c r="E20" s="5" t="s">
        <v>103</v>
      </c>
      <c r="F20" s="5"/>
      <c r="G20" s="5"/>
      <c r="H20" s="5"/>
      <c r="I20" s="5"/>
      <c r="J20" s="11"/>
      <c r="K20" s="5"/>
      <c r="L20" s="5"/>
    </row>
    <row r="21" spans="1:12" ht="14.25" hidden="1" outlineLevel="1">
      <c r="A21" s="5"/>
      <c r="B21" s="5"/>
      <c r="C21" s="10"/>
      <c r="D21" s="5"/>
      <c r="E21" s="5"/>
      <c r="F21" s="5"/>
      <c r="G21" s="5"/>
      <c r="H21" s="5"/>
      <c r="I21" s="5"/>
      <c r="J21" s="11"/>
      <c r="K21" s="5"/>
      <c r="L21" s="5"/>
    </row>
    <row r="22" spans="1:12" ht="14.25" hidden="1" outlineLevel="1">
      <c r="A22" s="5"/>
      <c r="B22" s="5"/>
      <c r="C22" s="10"/>
      <c r="D22" s="5" t="s">
        <v>102</v>
      </c>
      <c r="E22" s="5"/>
      <c r="F22" s="5"/>
      <c r="G22" s="5"/>
      <c r="H22" s="5"/>
      <c r="I22" s="5"/>
      <c r="J22" s="11"/>
      <c r="K22" s="5"/>
      <c r="L22" s="5"/>
    </row>
    <row r="23" spans="1:12" ht="14.25" hidden="1" outlineLevel="1">
      <c r="A23" s="5"/>
      <c r="B23" s="5"/>
      <c r="C23" s="10"/>
      <c r="D23" s="101" t="s">
        <v>108</v>
      </c>
      <c r="E23" s="8"/>
      <c r="F23" s="8"/>
      <c r="G23" s="8"/>
      <c r="H23" s="8"/>
      <c r="I23" s="9"/>
      <c r="J23" s="11"/>
      <c r="K23" s="5"/>
      <c r="L23" s="5"/>
    </row>
    <row r="24" spans="1:12" ht="14.25" hidden="1" outlineLevel="1">
      <c r="A24" s="5"/>
      <c r="B24" s="5"/>
      <c r="C24" s="10"/>
      <c r="D24" s="102" t="s">
        <v>106</v>
      </c>
      <c r="E24" s="5"/>
      <c r="F24" s="5"/>
      <c r="G24" s="5"/>
      <c r="H24" s="5"/>
      <c r="I24" s="11"/>
      <c r="J24" s="11"/>
      <c r="K24" s="5"/>
      <c r="L24" s="5"/>
    </row>
    <row r="25" spans="1:12" ht="14.25" hidden="1" outlineLevel="1">
      <c r="A25" s="5"/>
      <c r="B25" s="5"/>
      <c r="C25" s="10"/>
      <c r="D25" s="132" t="s">
        <v>110</v>
      </c>
      <c r="E25" s="5" t="s">
        <v>109</v>
      </c>
      <c r="F25" s="5"/>
      <c r="G25" s="5"/>
      <c r="H25" s="5"/>
      <c r="I25" s="11"/>
      <c r="J25" s="11"/>
      <c r="K25" s="5"/>
      <c r="L25" s="5"/>
    </row>
    <row r="26" spans="1:12" ht="14.25" hidden="1" outlineLevel="1">
      <c r="A26" s="5"/>
      <c r="B26" s="5"/>
      <c r="C26" s="10"/>
      <c r="D26" s="127"/>
      <c r="E26" s="131" t="s">
        <v>139</v>
      </c>
      <c r="F26" s="264">
        <f>MAX(0,INPUT!D99)</f>
        <v>25</v>
      </c>
      <c r="G26" s="5" t="s">
        <v>113</v>
      </c>
      <c r="H26" s="5"/>
      <c r="I26" s="261" t="s">
        <v>348</v>
      </c>
      <c r="J26" s="11"/>
      <c r="K26" s="5"/>
      <c r="L26" s="5"/>
    </row>
    <row r="27" spans="1:12" ht="14.25" hidden="1" outlineLevel="1">
      <c r="A27" s="5"/>
      <c r="B27" s="5"/>
      <c r="C27" s="10"/>
      <c r="D27" s="127"/>
      <c r="E27" s="131" t="s">
        <v>147</v>
      </c>
      <c r="F27" s="75">
        <v>4000</v>
      </c>
      <c r="G27" s="5" t="s">
        <v>114</v>
      </c>
      <c r="H27" s="5"/>
      <c r="I27" s="107"/>
      <c r="J27" s="11"/>
      <c r="K27" s="5"/>
      <c r="L27" s="5"/>
    </row>
    <row r="28" spans="1:12" ht="14.25" hidden="1" outlineLevel="1">
      <c r="A28" s="5"/>
      <c r="B28" s="5"/>
      <c r="C28" s="10"/>
      <c r="D28" s="133" t="s">
        <v>111</v>
      </c>
      <c r="E28" s="75">
        <v>-0.4</v>
      </c>
      <c r="F28" s="5" t="s">
        <v>107</v>
      </c>
      <c r="G28" s="5"/>
      <c r="H28" s="5"/>
      <c r="I28" s="107"/>
      <c r="J28" s="11"/>
      <c r="K28" s="5"/>
      <c r="L28" s="5"/>
    </row>
    <row r="29" spans="1:12" ht="14.25" hidden="1" outlineLevel="1">
      <c r="A29" s="5"/>
      <c r="B29" s="5"/>
      <c r="C29" s="10"/>
      <c r="D29" s="133" t="s">
        <v>112</v>
      </c>
      <c r="E29" s="108">
        <f>Assumptions!D94</f>
        <v>1</v>
      </c>
      <c r="F29" s="5" t="s">
        <v>115</v>
      </c>
      <c r="G29" s="5"/>
      <c r="H29" s="5"/>
      <c r="I29" s="261" t="s">
        <v>347</v>
      </c>
      <c r="J29" s="11"/>
      <c r="K29" s="5"/>
      <c r="L29" s="5"/>
    </row>
    <row r="30" spans="1:12" ht="14.25" hidden="1" outlineLevel="1">
      <c r="A30" s="5"/>
      <c r="B30" s="5"/>
      <c r="C30" s="10"/>
      <c r="D30" s="104"/>
      <c r="E30" s="105"/>
      <c r="F30" s="68"/>
      <c r="G30" s="68"/>
      <c r="H30" s="68"/>
      <c r="I30" s="106"/>
      <c r="J30" s="11"/>
      <c r="K30" s="5"/>
      <c r="L30" s="5"/>
    </row>
    <row r="31" spans="1:12" ht="14.25" hidden="1" outlineLevel="1">
      <c r="A31" s="5"/>
      <c r="B31" s="5"/>
      <c r="C31" s="10"/>
      <c r="D31" s="262" t="s">
        <v>359</v>
      </c>
      <c r="E31" s="72"/>
      <c r="F31" s="5"/>
      <c r="G31" s="5"/>
      <c r="H31" s="5"/>
      <c r="I31" s="12"/>
      <c r="J31" s="11"/>
      <c r="K31" s="5"/>
      <c r="L31" s="5"/>
    </row>
    <row r="32" spans="1:12" ht="14.25" hidden="1" outlineLevel="1">
      <c r="A32" s="5"/>
      <c r="B32" s="5"/>
      <c r="C32" s="10"/>
      <c r="D32" s="5"/>
      <c r="E32" s="5"/>
      <c r="F32" s="5"/>
      <c r="G32" s="5"/>
      <c r="H32" s="5"/>
      <c r="I32" s="5"/>
      <c r="J32" s="11"/>
      <c r="K32" s="5"/>
      <c r="L32" s="5"/>
    </row>
    <row r="33" spans="1:12" ht="14.25" collapsed="1">
      <c r="A33" s="5"/>
      <c r="B33" s="5"/>
      <c r="C33" s="372" t="s">
        <v>104</v>
      </c>
      <c r="D33" s="373"/>
      <c r="E33" s="373"/>
      <c r="F33" s="373"/>
      <c r="G33" s="373"/>
      <c r="H33" s="373"/>
      <c r="I33" s="373"/>
      <c r="J33" s="374"/>
      <c r="K33" s="5"/>
      <c r="L33" s="5"/>
    </row>
    <row r="34" spans="1:12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 hidden="1" outlineLevel="1" thickBot="1">
      <c r="A35" s="5"/>
      <c r="B35" s="5"/>
      <c r="C35" s="7"/>
      <c r="D35" s="8"/>
      <c r="E35" s="8"/>
      <c r="F35" s="8"/>
      <c r="G35" s="8"/>
      <c r="H35" s="8"/>
      <c r="I35" s="8"/>
      <c r="J35" s="9"/>
      <c r="K35" s="5"/>
      <c r="L35" s="5"/>
    </row>
    <row r="36" spans="1:12" ht="15" hidden="1" outlineLevel="1" thickBot="1">
      <c r="A36" s="5"/>
      <c r="B36" s="5"/>
      <c r="C36" s="10"/>
      <c r="D36" s="109">
        <f>IF(INPUT!D104="yes",E41*E43*(-1),0)</f>
        <v>0</v>
      </c>
      <c r="E36" s="5" t="s">
        <v>103</v>
      </c>
      <c r="F36" s="5"/>
      <c r="G36" s="5"/>
      <c r="H36" s="5"/>
      <c r="I36" s="5"/>
      <c r="J36" s="11"/>
      <c r="K36" s="5"/>
      <c r="L36" s="5"/>
    </row>
    <row r="37" spans="1:12" ht="14.25" hidden="1" outlineLevel="1">
      <c r="A37" s="5"/>
      <c r="B37" s="5"/>
      <c r="C37" s="10"/>
      <c r="D37" s="5"/>
      <c r="E37" s="5"/>
      <c r="F37" s="5"/>
      <c r="G37" s="5"/>
      <c r="H37" s="5"/>
      <c r="I37" s="5"/>
      <c r="J37" s="11"/>
      <c r="K37" s="5"/>
      <c r="L37" s="5"/>
    </row>
    <row r="38" spans="1:12" ht="14.25" hidden="1" outlineLevel="1">
      <c r="A38" s="5"/>
      <c r="B38" s="5"/>
      <c r="C38" s="10"/>
      <c r="D38" s="5" t="s">
        <v>102</v>
      </c>
      <c r="E38" s="5"/>
      <c r="F38" s="5"/>
      <c r="G38" s="5"/>
      <c r="H38" s="5"/>
      <c r="I38" s="5"/>
      <c r="J38" s="11"/>
      <c r="K38" s="5"/>
      <c r="L38" s="5"/>
    </row>
    <row r="39" spans="1:12" ht="14.25" hidden="1" outlineLevel="1">
      <c r="A39" s="5"/>
      <c r="B39" s="5"/>
      <c r="C39" s="10"/>
      <c r="D39" s="101" t="s">
        <v>123</v>
      </c>
      <c r="E39" s="8"/>
      <c r="F39" s="8"/>
      <c r="G39" s="8"/>
      <c r="H39" s="8"/>
      <c r="I39" s="9"/>
      <c r="J39" s="11"/>
      <c r="K39" s="5"/>
      <c r="L39" s="5"/>
    </row>
    <row r="40" spans="1:12" ht="14.25" hidden="1" outlineLevel="1">
      <c r="A40" s="5"/>
      <c r="B40" s="5"/>
      <c r="C40" s="10"/>
      <c r="D40" s="102" t="s">
        <v>106</v>
      </c>
      <c r="E40" s="5"/>
      <c r="F40" s="5"/>
      <c r="G40" s="5"/>
      <c r="H40" s="5"/>
      <c r="I40" s="11"/>
      <c r="J40" s="11"/>
      <c r="K40" s="5"/>
      <c r="L40" s="5"/>
    </row>
    <row r="41" spans="1:12" ht="14.25" hidden="1" outlineLevel="1">
      <c r="A41" s="5"/>
      <c r="B41" s="5"/>
      <c r="C41" s="10"/>
      <c r="D41" s="132" t="s">
        <v>110</v>
      </c>
      <c r="E41" s="265">
        <f>MAX(0,INPUT!D105)</f>
        <v>0.3</v>
      </c>
      <c r="F41" s="361" t="s">
        <v>377</v>
      </c>
      <c r="G41" s="362"/>
      <c r="H41" s="362"/>
      <c r="I41" s="261" t="s">
        <v>348</v>
      </c>
      <c r="J41" s="11"/>
      <c r="K41" s="5"/>
      <c r="L41" s="5"/>
    </row>
    <row r="42" spans="1:12" ht="14.25" hidden="1" outlineLevel="1">
      <c r="A42" s="5"/>
      <c r="B42" s="5"/>
      <c r="C42" s="10"/>
      <c r="D42" s="132"/>
      <c r="E42" s="136"/>
      <c r="F42" s="362"/>
      <c r="G42" s="362"/>
      <c r="H42" s="362"/>
      <c r="I42" s="261"/>
      <c r="J42" s="11"/>
      <c r="K42" s="5"/>
      <c r="L42" s="5"/>
    </row>
    <row r="43" spans="1:12" ht="14.25" hidden="1" outlineLevel="1">
      <c r="A43" s="5"/>
      <c r="B43" s="5"/>
      <c r="C43" s="10"/>
      <c r="D43" s="133" t="s">
        <v>111</v>
      </c>
      <c r="E43" s="197">
        <v>-0.11</v>
      </c>
      <c r="F43" s="5" t="s">
        <v>124</v>
      </c>
      <c r="G43" s="5"/>
      <c r="H43" s="5"/>
      <c r="I43" s="107"/>
      <c r="J43" s="11"/>
      <c r="K43" s="5"/>
      <c r="L43" s="5"/>
    </row>
    <row r="44" spans="1:12" ht="14.25" hidden="1" outlineLevel="1">
      <c r="A44" s="5"/>
      <c r="B44" s="5"/>
      <c r="C44" s="10"/>
      <c r="D44" s="104"/>
      <c r="E44" s="105"/>
      <c r="F44" s="68"/>
      <c r="G44" s="68"/>
      <c r="H44" s="68"/>
      <c r="I44" s="106"/>
      <c r="J44" s="11"/>
      <c r="K44" s="5"/>
      <c r="L44" s="5"/>
    </row>
    <row r="45" spans="1:12" ht="14.25" hidden="1" outlineLevel="1">
      <c r="A45" s="5"/>
      <c r="B45" s="5"/>
      <c r="C45" s="10"/>
      <c r="D45" s="262" t="s">
        <v>360</v>
      </c>
      <c r="E45" s="72"/>
      <c r="F45" s="5"/>
      <c r="G45" s="5"/>
      <c r="H45" s="5"/>
      <c r="I45" s="12"/>
      <c r="J45" s="11"/>
      <c r="K45" s="5"/>
      <c r="L45" s="5"/>
    </row>
    <row r="46" spans="1:12" ht="14.25" hidden="1" outlineLevel="1">
      <c r="A46" s="5"/>
      <c r="B46" s="5"/>
      <c r="C46" s="10"/>
      <c r="D46" s="5"/>
      <c r="E46" s="5"/>
      <c r="F46" s="5"/>
      <c r="G46" s="5"/>
      <c r="H46" s="5"/>
      <c r="I46" s="5"/>
      <c r="J46" s="11"/>
      <c r="K46" s="5"/>
      <c r="L46" s="5"/>
    </row>
    <row r="47" spans="1:12" ht="14.25" collapsed="1">
      <c r="A47" s="5"/>
      <c r="B47" s="5"/>
      <c r="C47" s="372" t="s">
        <v>79</v>
      </c>
      <c r="D47" s="373"/>
      <c r="E47" s="373"/>
      <c r="F47" s="373"/>
      <c r="G47" s="373"/>
      <c r="H47" s="373"/>
      <c r="I47" s="373"/>
      <c r="J47" s="374"/>
      <c r="K47" s="5"/>
      <c r="L47" s="5"/>
    </row>
    <row r="48" ht="14.25">
      <c r="A48" s="5"/>
    </row>
    <row r="49" ht="14.25">
      <c r="A49" s="5"/>
    </row>
  </sheetData>
  <sheetProtection password="85AF" sheet="1" objects="1" scenarios="1"/>
  <mergeCells count="5">
    <mergeCell ref="B4:K4"/>
    <mergeCell ref="C17:J17"/>
    <mergeCell ref="C33:J33"/>
    <mergeCell ref="C47:J47"/>
    <mergeCell ref="F41:H42"/>
  </mergeCells>
  <hyperlinks>
    <hyperlink ref="I12" location="INPUT!A1" display="see input tab"/>
    <hyperlink ref="I13" location="INPUT!A1" display="see input tab"/>
    <hyperlink ref="I26" location="INPUT!A1" display="see input tab"/>
    <hyperlink ref="I41" location="INPUT!A1" display="see input tab"/>
    <hyperlink ref="I29" location="Assumptions!A1" display="see assumptions tab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72"/>
  <sheetViews>
    <sheetView zoomScale="80" zoomScaleNormal="80" zoomScalePageLayoutView="0" workbookViewId="0" topLeftCell="A1">
      <selection activeCell="N15" sqref="N15"/>
    </sheetView>
  </sheetViews>
  <sheetFormatPr defaultColWidth="9.140625" defaultRowHeight="15" outlineLevelRow="1"/>
  <cols>
    <col min="1" max="1" width="1.7109375" style="0" customWidth="1"/>
    <col min="2" max="2" width="3.7109375" style="0" customWidth="1"/>
    <col min="3" max="3" width="4.57421875" style="0" customWidth="1"/>
    <col min="5" max="5" width="17.140625" style="0" customWidth="1"/>
    <col min="6" max="6" width="22.7109375" style="0" customWidth="1"/>
    <col min="7" max="7" width="20.421875" style="0" customWidth="1"/>
    <col min="8" max="8" width="25.28125" style="0" customWidth="1"/>
    <col min="9" max="9" width="19.140625" style="0" customWidth="1"/>
    <col min="10" max="10" width="7.57421875" style="0" customWidth="1"/>
    <col min="11" max="11" width="4.8515625" style="0" customWidth="1"/>
  </cols>
  <sheetData>
    <row r="1" spans="2:3" ht="14.25">
      <c r="B1" s="75"/>
      <c r="C1" s="76" t="s">
        <v>117</v>
      </c>
    </row>
    <row r="2" spans="2:3" ht="14.25">
      <c r="B2" s="78"/>
      <c r="C2" s="76" t="s">
        <v>118</v>
      </c>
    </row>
    <row r="3" ht="7.5" customHeight="1" thickBot="1"/>
    <row r="4" spans="2:11" ht="18.75" thickBot="1">
      <c r="B4" s="376" t="s">
        <v>21</v>
      </c>
      <c r="C4" s="377"/>
      <c r="D4" s="377"/>
      <c r="E4" s="377"/>
      <c r="F4" s="377"/>
      <c r="G4" s="377"/>
      <c r="H4" s="377"/>
      <c r="I4" s="377"/>
      <c r="J4" s="377"/>
      <c r="K4" s="378"/>
    </row>
    <row r="5" ht="14.25">
      <c r="L5" s="5"/>
    </row>
    <row r="6" spans="1:12" ht="15" hidden="1" outlineLevel="1" thickBot="1">
      <c r="A6" s="5"/>
      <c r="B6" s="5"/>
      <c r="C6" s="7"/>
      <c r="D6" s="8"/>
      <c r="E6" s="8"/>
      <c r="F6" s="8"/>
      <c r="G6" s="8"/>
      <c r="H6" s="8"/>
      <c r="I6" s="8"/>
      <c r="J6" s="9"/>
      <c r="K6" s="5"/>
      <c r="L6" s="5"/>
    </row>
    <row r="7" spans="1:12" ht="15" hidden="1" outlineLevel="1" thickBot="1">
      <c r="A7" s="5"/>
      <c r="B7" s="5"/>
      <c r="C7" s="10"/>
      <c r="D7" s="109">
        <f>IF(INPUT!D113="yes",E13*E14*E21*E22,0)</f>
        <v>0</v>
      </c>
      <c r="E7" s="5" t="s">
        <v>103</v>
      </c>
      <c r="F7" s="5"/>
      <c r="G7" s="5"/>
      <c r="H7" s="5"/>
      <c r="I7" s="5"/>
      <c r="J7" s="11"/>
      <c r="K7" s="5"/>
      <c r="L7" s="5"/>
    </row>
    <row r="8" spans="1:12" ht="14.25" hidden="1" outlineLevel="1">
      <c r="A8" s="5"/>
      <c r="B8" s="5"/>
      <c r="C8" s="10"/>
      <c r="D8" s="5"/>
      <c r="E8" s="5"/>
      <c r="F8" s="5"/>
      <c r="G8" s="5"/>
      <c r="H8" s="5"/>
      <c r="I8" s="5"/>
      <c r="J8" s="11"/>
      <c r="K8" s="5"/>
      <c r="L8" s="5"/>
    </row>
    <row r="9" spans="1:12" ht="14.25" hidden="1" outlineLevel="1">
      <c r="A9" s="5"/>
      <c r="B9" s="5"/>
      <c r="C9" s="10"/>
      <c r="D9" s="5" t="s">
        <v>102</v>
      </c>
      <c r="E9" s="5"/>
      <c r="F9" s="5"/>
      <c r="G9" s="5"/>
      <c r="H9" s="5"/>
      <c r="I9" s="5"/>
      <c r="J9" s="11"/>
      <c r="K9" s="5"/>
      <c r="L9" s="5"/>
    </row>
    <row r="10" spans="1:12" ht="14.25" hidden="1" outlineLevel="1">
      <c r="A10" s="5"/>
      <c r="B10" s="5"/>
      <c r="C10" s="10"/>
      <c r="D10" s="455" t="s">
        <v>214</v>
      </c>
      <c r="E10" s="456"/>
      <c r="F10" s="456"/>
      <c r="G10" s="456"/>
      <c r="H10" s="456"/>
      <c r="I10" s="457"/>
      <c r="J10" s="11"/>
      <c r="K10" s="5"/>
      <c r="L10" s="5"/>
    </row>
    <row r="11" spans="1:12" ht="14.25" hidden="1" outlineLevel="1">
      <c r="A11" s="5"/>
      <c r="B11" s="5"/>
      <c r="C11" s="10"/>
      <c r="D11" s="458"/>
      <c r="E11" s="459"/>
      <c r="F11" s="459"/>
      <c r="G11" s="459"/>
      <c r="H11" s="459"/>
      <c r="I11" s="460"/>
      <c r="J11" s="11"/>
      <c r="K11" s="5"/>
      <c r="L11" s="5"/>
    </row>
    <row r="12" spans="1:12" ht="14.25" hidden="1" outlineLevel="1">
      <c r="A12" s="5"/>
      <c r="B12" s="5"/>
      <c r="C12" s="10"/>
      <c r="D12" s="102" t="s">
        <v>106</v>
      </c>
      <c r="E12" s="5"/>
      <c r="F12" s="5"/>
      <c r="G12" s="5"/>
      <c r="H12" s="5"/>
      <c r="I12" s="11"/>
      <c r="J12" s="11"/>
      <c r="K12" s="5"/>
      <c r="L12" s="5"/>
    </row>
    <row r="13" spans="1:12" ht="14.25" hidden="1" outlineLevel="1">
      <c r="A13" s="5"/>
      <c r="B13" s="5"/>
      <c r="C13" s="10"/>
      <c r="D13" s="132" t="s">
        <v>110</v>
      </c>
      <c r="E13" s="165">
        <f>MAX(0,INPUT!D114)</f>
        <v>0.5</v>
      </c>
      <c r="F13" s="5" t="s">
        <v>215</v>
      </c>
      <c r="G13" s="5"/>
      <c r="H13" s="5"/>
      <c r="I13" s="261" t="s">
        <v>348</v>
      </c>
      <c r="J13" s="11"/>
      <c r="K13" s="5"/>
      <c r="L13" s="5"/>
    </row>
    <row r="14" spans="1:12" ht="14.25" hidden="1" outlineLevel="1">
      <c r="A14" s="5"/>
      <c r="B14" s="5"/>
      <c r="C14" s="10"/>
      <c r="D14" s="133" t="s">
        <v>111</v>
      </c>
      <c r="E14" s="108">
        <f>VLOOKUP(INPUT!C7,Transit!F16:G20,2,FALSE)</f>
        <v>1.01</v>
      </c>
      <c r="F14" s="5" t="s">
        <v>216</v>
      </c>
      <c r="G14" s="5"/>
      <c r="H14" s="5"/>
      <c r="I14" s="107"/>
      <c r="J14" s="11"/>
      <c r="K14" s="5"/>
      <c r="L14" s="5"/>
    </row>
    <row r="15" spans="1:12" ht="14.25" hidden="1" outlineLevel="1">
      <c r="A15" s="5"/>
      <c r="B15" s="5"/>
      <c r="C15" s="10"/>
      <c r="D15" s="135"/>
      <c r="E15" s="163"/>
      <c r="F15" s="164" t="s">
        <v>208</v>
      </c>
      <c r="G15" s="185" t="s">
        <v>251</v>
      </c>
      <c r="H15" s="5"/>
      <c r="I15" s="107"/>
      <c r="J15" s="11"/>
      <c r="K15" s="5"/>
      <c r="L15" s="5"/>
    </row>
    <row r="16" spans="1:12" ht="14.25" hidden="1" outlineLevel="1">
      <c r="A16" s="5"/>
      <c r="B16" s="5"/>
      <c r="C16" s="10"/>
      <c r="D16" s="135"/>
      <c r="E16" s="163"/>
      <c r="F16" s="164" t="s">
        <v>221</v>
      </c>
      <c r="G16" s="167">
        <v>0.65</v>
      </c>
      <c r="H16" s="5"/>
      <c r="I16" s="107"/>
      <c r="J16" s="11"/>
      <c r="K16" s="5"/>
      <c r="L16" s="5"/>
    </row>
    <row r="17" spans="1:12" ht="14.25" hidden="1" outlineLevel="1">
      <c r="A17" s="5"/>
      <c r="B17" s="5"/>
      <c r="C17" s="10"/>
      <c r="D17" s="135"/>
      <c r="E17" s="163"/>
      <c r="F17" s="160" t="s">
        <v>220</v>
      </c>
      <c r="G17" s="167">
        <v>0.72</v>
      </c>
      <c r="H17" s="5"/>
      <c r="I17" s="107"/>
      <c r="J17" s="11"/>
      <c r="K17" s="5"/>
      <c r="L17" s="5"/>
    </row>
    <row r="18" spans="1:12" ht="14.25" hidden="1" outlineLevel="1">
      <c r="A18" s="5"/>
      <c r="B18" s="5"/>
      <c r="C18" s="10"/>
      <c r="D18" s="135"/>
      <c r="E18" s="163"/>
      <c r="F18" s="160" t="s">
        <v>232</v>
      </c>
      <c r="G18" s="167">
        <v>0.72</v>
      </c>
      <c r="H18" s="5"/>
      <c r="I18" s="107"/>
      <c r="J18" s="11"/>
      <c r="K18" s="5"/>
      <c r="L18" s="5"/>
    </row>
    <row r="19" spans="1:12" ht="14.25" hidden="1" outlineLevel="1">
      <c r="A19" s="5"/>
      <c r="B19" s="5"/>
      <c r="C19" s="10"/>
      <c r="D19" s="135"/>
      <c r="E19" s="163"/>
      <c r="F19" s="160" t="s">
        <v>233</v>
      </c>
      <c r="G19" s="167">
        <v>1.01</v>
      </c>
      <c r="H19" s="5"/>
      <c r="I19" s="107"/>
      <c r="J19" s="11"/>
      <c r="K19" s="5"/>
      <c r="L19" s="5"/>
    </row>
    <row r="20" spans="1:12" ht="14.25" hidden="1" outlineLevel="1">
      <c r="A20" s="5"/>
      <c r="B20" s="5"/>
      <c r="C20" s="10"/>
      <c r="D20" s="135"/>
      <c r="E20" s="163"/>
      <c r="F20" s="160" t="s">
        <v>219</v>
      </c>
      <c r="G20" s="167">
        <v>1.01</v>
      </c>
      <c r="H20" s="5"/>
      <c r="I20" s="107"/>
      <c r="J20" s="11"/>
      <c r="K20" s="5"/>
      <c r="L20" s="5"/>
    </row>
    <row r="21" spans="1:12" ht="14.25" hidden="1" outlineLevel="1">
      <c r="A21" s="5"/>
      <c r="B21" s="5"/>
      <c r="C21" s="10"/>
      <c r="D21" s="135" t="s">
        <v>112</v>
      </c>
      <c r="E21" s="165">
        <f>MIN(MAX(0,INPUT!D115),1)</f>
        <v>0.05</v>
      </c>
      <c r="F21" s="5" t="s">
        <v>210</v>
      </c>
      <c r="G21" s="5"/>
      <c r="H21" s="5"/>
      <c r="I21" s="261" t="s">
        <v>348</v>
      </c>
      <c r="J21" s="11"/>
      <c r="K21" s="5"/>
      <c r="L21" s="5"/>
    </row>
    <row r="22" spans="1:12" ht="14.25" hidden="1" outlineLevel="1">
      <c r="A22" s="5"/>
      <c r="B22" s="5"/>
      <c r="C22" s="10"/>
      <c r="D22" s="135" t="s">
        <v>217</v>
      </c>
      <c r="E22" s="108">
        <f>Assumptions!D111</f>
        <v>0.6944444444444444</v>
      </c>
      <c r="F22" s="13" t="s">
        <v>218</v>
      </c>
      <c r="G22" s="5"/>
      <c r="H22" s="5"/>
      <c r="I22" s="261" t="s">
        <v>347</v>
      </c>
      <c r="J22" s="11"/>
      <c r="K22" s="5"/>
      <c r="L22" s="5"/>
    </row>
    <row r="23" spans="1:12" ht="14.25" hidden="1" outlineLevel="1">
      <c r="A23" s="5"/>
      <c r="B23" s="5"/>
      <c r="C23" s="10"/>
      <c r="D23" s="104"/>
      <c r="E23" s="105"/>
      <c r="F23" s="68"/>
      <c r="G23" s="68"/>
      <c r="H23" s="68"/>
      <c r="I23" s="106"/>
      <c r="J23" s="11"/>
      <c r="K23" s="5"/>
      <c r="L23" s="5"/>
    </row>
    <row r="24" spans="1:12" ht="14.25" hidden="1" outlineLevel="1">
      <c r="A24" s="5"/>
      <c r="B24" s="5"/>
      <c r="C24" s="10"/>
      <c r="D24" s="262" t="s">
        <v>361</v>
      </c>
      <c r="E24" s="72"/>
      <c r="F24" s="5"/>
      <c r="G24" s="5"/>
      <c r="H24" s="5"/>
      <c r="I24" s="12"/>
      <c r="J24" s="11"/>
      <c r="K24" s="5"/>
      <c r="L24" s="5"/>
    </row>
    <row r="25" spans="1:12" ht="14.25" hidden="1" outlineLevel="1">
      <c r="A25" s="5"/>
      <c r="B25" s="5"/>
      <c r="C25" s="10"/>
      <c r="D25" s="5"/>
      <c r="E25" s="5"/>
      <c r="F25" s="5"/>
      <c r="G25" s="5"/>
      <c r="H25" s="5"/>
      <c r="I25" s="5"/>
      <c r="J25" s="11"/>
      <c r="K25" s="5"/>
      <c r="L25" s="5"/>
    </row>
    <row r="26" spans="1:12" ht="15" customHeight="1" collapsed="1">
      <c r="A26" s="5"/>
      <c r="B26" s="5"/>
      <c r="C26" s="375" t="s">
        <v>73</v>
      </c>
      <c r="D26" s="375"/>
      <c r="E26" s="375"/>
      <c r="F26" s="375"/>
      <c r="G26" s="375"/>
      <c r="H26" s="375"/>
      <c r="I26" s="375"/>
      <c r="J26" s="375"/>
      <c r="K26" s="5"/>
      <c r="L26" s="5"/>
    </row>
    <row r="27" spans="1:12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 hidden="1" outlineLevel="1" thickBot="1">
      <c r="A28" s="5"/>
      <c r="B28" s="5"/>
      <c r="C28" s="7"/>
      <c r="D28" s="8"/>
      <c r="E28" s="8"/>
      <c r="F28" s="8"/>
      <c r="G28" s="8"/>
      <c r="H28" s="8"/>
      <c r="I28" s="8"/>
      <c r="J28" s="9"/>
      <c r="K28" s="5"/>
      <c r="L28" s="5"/>
    </row>
    <row r="29" spans="1:12" ht="15" hidden="1" outlineLevel="1" thickBot="1">
      <c r="A29" s="5"/>
      <c r="B29" s="5"/>
      <c r="C29" s="10"/>
      <c r="D29" s="109">
        <f>IF(INPUT!D120="yes",E35*E36*E43*E50*E51,0)</f>
        <v>0</v>
      </c>
      <c r="E29" s="5" t="s">
        <v>103</v>
      </c>
      <c r="F29" s="5"/>
      <c r="G29" s="5"/>
      <c r="H29" s="5"/>
      <c r="I29" s="5"/>
      <c r="J29" s="11"/>
      <c r="K29" s="5"/>
      <c r="L29" s="5"/>
    </row>
    <row r="30" spans="1:12" ht="14.25" hidden="1" outlineLevel="1">
      <c r="A30" s="5"/>
      <c r="B30" s="5"/>
      <c r="C30" s="10"/>
      <c r="D30" s="5"/>
      <c r="E30" s="5"/>
      <c r="F30" s="5"/>
      <c r="G30" s="5"/>
      <c r="H30" s="5"/>
      <c r="I30" s="5"/>
      <c r="J30" s="11"/>
      <c r="K30" s="5"/>
      <c r="L30" s="5"/>
    </row>
    <row r="31" spans="1:12" ht="14.25" hidden="1" outlineLevel="1">
      <c r="A31" s="5"/>
      <c r="B31" s="5"/>
      <c r="C31" s="10"/>
      <c r="D31" s="5" t="s">
        <v>102</v>
      </c>
      <c r="E31" s="5"/>
      <c r="F31" s="5"/>
      <c r="G31" s="5"/>
      <c r="H31" s="5"/>
      <c r="I31" s="5"/>
      <c r="J31" s="11"/>
      <c r="K31" s="5"/>
      <c r="L31" s="5"/>
    </row>
    <row r="32" spans="1:12" ht="14.25" customHeight="1" hidden="1" outlineLevel="1">
      <c r="A32" s="5"/>
      <c r="B32" s="5"/>
      <c r="C32" s="10"/>
      <c r="D32" s="455" t="s">
        <v>225</v>
      </c>
      <c r="E32" s="456"/>
      <c r="F32" s="456"/>
      <c r="G32" s="456"/>
      <c r="H32" s="456"/>
      <c r="I32" s="457"/>
      <c r="J32" s="11"/>
      <c r="K32" s="5"/>
      <c r="L32" s="5"/>
    </row>
    <row r="33" spans="1:12" ht="14.25" customHeight="1" hidden="1" outlineLevel="1">
      <c r="A33" s="5"/>
      <c r="B33" s="5"/>
      <c r="C33" s="10"/>
      <c r="D33" s="458"/>
      <c r="E33" s="459"/>
      <c r="F33" s="459"/>
      <c r="G33" s="459"/>
      <c r="H33" s="459"/>
      <c r="I33" s="460"/>
      <c r="J33" s="11"/>
      <c r="K33" s="5"/>
      <c r="L33" s="5"/>
    </row>
    <row r="34" spans="1:12" ht="14.25" hidden="1" outlineLevel="1">
      <c r="A34" s="5"/>
      <c r="B34" s="5"/>
      <c r="C34" s="10"/>
      <c r="D34" s="102" t="s">
        <v>106</v>
      </c>
      <c r="E34" s="5"/>
      <c r="F34" s="5"/>
      <c r="G34" s="5"/>
      <c r="H34" s="5"/>
      <c r="I34" s="11"/>
      <c r="J34" s="11"/>
      <c r="K34" s="5"/>
      <c r="L34" s="5"/>
    </row>
    <row r="35" spans="1:12" ht="14.25" hidden="1" outlineLevel="1">
      <c r="A35" s="5"/>
      <c r="B35" s="5"/>
      <c r="C35" s="10"/>
      <c r="D35" s="132" t="s">
        <v>110</v>
      </c>
      <c r="E35" s="165">
        <f>MIN(MAX(0,INPUT!D121),1)</f>
        <v>0.5</v>
      </c>
      <c r="F35" s="5" t="s">
        <v>223</v>
      </c>
      <c r="G35" s="5"/>
      <c r="H35" s="5"/>
      <c r="I35" s="261" t="s">
        <v>348</v>
      </c>
      <c r="J35" s="11"/>
      <c r="K35" s="5"/>
      <c r="L35" s="5"/>
    </row>
    <row r="36" spans="1:12" ht="14.25" hidden="1" outlineLevel="1">
      <c r="A36" s="5"/>
      <c r="B36" s="5"/>
      <c r="C36" s="10"/>
      <c r="D36" s="73" t="s">
        <v>111</v>
      </c>
      <c r="E36" s="197">
        <f>VLOOKUP(INPUT!C7,Transit!F38:G42,2,FALSE)</f>
        <v>0.36</v>
      </c>
      <c r="F36" s="5" t="s">
        <v>226</v>
      </c>
      <c r="G36" s="5"/>
      <c r="H36" s="5"/>
      <c r="I36" s="107"/>
      <c r="J36" s="11"/>
      <c r="K36" s="5"/>
      <c r="L36" s="5"/>
    </row>
    <row r="37" spans="1:12" ht="14.25" hidden="1" outlineLevel="1">
      <c r="A37" s="5"/>
      <c r="B37" s="5"/>
      <c r="C37" s="10"/>
      <c r="D37" s="135"/>
      <c r="E37" s="163"/>
      <c r="F37" s="164" t="s">
        <v>208</v>
      </c>
      <c r="G37" s="185" t="s">
        <v>251</v>
      </c>
      <c r="H37" s="5"/>
      <c r="I37" s="107"/>
      <c r="J37" s="11"/>
      <c r="K37" s="5"/>
      <c r="L37" s="5"/>
    </row>
    <row r="38" spans="1:12" ht="14.25" hidden="1" outlineLevel="1">
      <c r="A38" s="5"/>
      <c r="B38" s="5"/>
      <c r="C38" s="10"/>
      <c r="D38" s="135"/>
      <c r="E38" s="163"/>
      <c r="F38" s="164" t="s">
        <v>221</v>
      </c>
      <c r="G38" s="167">
        <v>0.32</v>
      </c>
      <c r="H38" s="5"/>
      <c r="I38" s="107"/>
      <c r="J38" s="11"/>
      <c r="K38" s="5"/>
      <c r="L38" s="5"/>
    </row>
    <row r="39" spans="1:12" ht="14.25" hidden="1" outlineLevel="1">
      <c r="A39" s="5"/>
      <c r="B39" s="5"/>
      <c r="C39" s="10"/>
      <c r="D39" s="135"/>
      <c r="E39" s="163"/>
      <c r="F39" s="160" t="s">
        <v>220</v>
      </c>
      <c r="G39" s="167">
        <v>0.32</v>
      </c>
      <c r="H39" s="5"/>
      <c r="I39" s="107"/>
      <c r="J39" s="11"/>
      <c r="K39" s="5"/>
      <c r="L39" s="5"/>
    </row>
    <row r="40" spans="1:12" ht="14.25" hidden="1" outlineLevel="1">
      <c r="A40" s="5"/>
      <c r="B40" s="5"/>
      <c r="C40" s="10"/>
      <c r="D40" s="135"/>
      <c r="E40" s="163"/>
      <c r="F40" s="160" t="s">
        <v>232</v>
      </c>
      <c r="G40" s="167">
        <v>0.32</v>
      </c>
      <c r="H40" s="5"/>
      <c r="I40" s="107"/>
      <c r="J40" s="11"/>
      <c r="K40" s="5"/>
      <c r="L40" s="5"/>
    </row>
    <row r="41" spans="1:12" ht="14.25" hidden="1" outlineLevel="1">
      <c r="A41" s="5"/>
      <c r="B41" s="5"/>
      <c r="C41" s="10"/>
      <c r="D41" s="135"/>
      <c r="E41" s="163"/>
      <c r="F41" s="160" t="s">
        <v>233</v>
      </c>
      <c r="G41" s="167">
        <v>0.36</v>
      </c>
      <c r="H41" s="5"/>
      <c r="I41" s="107"/>
      <c r="J41" s="11"/>
      <c r="K41" s="5"/>
      <c r="L41" s="5"/>
    </row>
    <row r="42" spans="1:12" ht="14.25" hidden="1" outlineLevel="1">
      <c r="A42" s="5"/>
      <c r="B42" s="5"/>
      <c r="C42" s="10"/>
      <c r="D42" s="135"/>
      <c r="E42" s="163"/>
      <c r="F42" s="160" t="s">
        <v>219</v>
      </c>
      <c r="G42" s="167">
        <v>0.36</v>
      </c>
      <c r="H42" s="5"/>
      <c r="I42" s="107"/>
      <c r="J42" s="11"/>
      <c r="K42" s="5"/>
      <c r="L42" s="5"/>
    </row>
    <row r="43" spans="1:12" ht="14.25" hidden="1" outlineLevel="1">
      <c r="A43" s="5"/>
      <c r="B43" s="5"/>
      <c r="C43" s="10"/>
      <c r="D43" s="73" t="s">
        <v>112</v>
      </c>
      <c r="E43" s="108">
        <f>IF(F44="&lt;50% of lines (within project) improved",G47,G48)</f>
        <v>0.85</v>
      </c>
      <c r="F43" s="5" t="s">
        <v>227</v>
      </c>
      <c r="G43" s="5"/>
      <c r="H43" s="5"/>
      <c r="I43" s="107"/>
      <c r="J43" s="11"/>
      <c r="K43" s="5"/>
      <c r="L43" s="5"/>
    </row>
    <row r="44" spans="1:12" ht="14.25" hidden="1" outlineLevel="1">
      <c r="A44" s="5"/>
      <c r="B44" s="5"/>
      <c r="C44" s="10"/>
      <c r="D44" s="73"/>
      <c r="E44" s="174"/>
      <c r="F44" s="473" t="str">
        <f>INPUT!D123</f>
        <v>&gt;=50% of lines (within project) improved</v>
      </c>
      <c r="G44" s="474"/>
      <c r="H44" s="5" t="s">
        <v>224</v>
      </c>
      <c r="I44" s="261" t="s">
        <v>348</v>
      </c>
      <c r="J44" s="11"/>
      <c r="K44" s="5"/>
      <c r="L44" s="5"/>
    </row>
    <row r="45" spans="1:12" ht="4.5" customHeight="1" hidden="1" outlineLevel="1">
      <c r="A45" s="5"/>
      <c r="B45" s="5"/>
      <c r="C45" s="10"/>
      <c r="D45" s="73"/>
      <c r="E45" s="174"/>
      <c r="F45" s="179"/>
      <c r="G45" s="177"/>
      <c r="H45" s="5"/>
      <c r="I45" s="107"/>
      <c r="J45" s="11"/>
      <c r="K45" s="5"/>
      <c r="L45" s="5"/>
    </row>
    <row r="46" spans="1:12" ht="14.25" hidden="1" outlineLevel="1">
      <c r="A46" s="5"/>
      <c r="B46" s="5"/>
      <c r="C46" s="10"/>
      <c r="D46" s="73"/>
      <c r="E46" s="174"/>
      <c r="F46" s="175" t="s">
        <v>224</v>
      </c>
      <c r="G46" s="161" t="s">
        <v>228</v>
      </c>
      <c r="H46" s="5"/>
      <c r="I46" s="107"/>
      <c r="J46" s="11"/>
      <c r="K46" s="5"/>
      <c r="L46" s="5"/>
    </row>
    <row r="47" spans="1:12" ht="14.25" hidden="1" outlineLevel="1">
      <c r="A47" s="5"/>
      <c r="B47" s="5"/>
      <c r="C47" s="10"/>
      <c r="D47" s="73"/>
      <c r="E47" s="174"/>
      <c r="F47" s="175" t="s">
        <v>229</v>
      </c>
      <c r="G47" s="266">
        <v>0.5</v>
      </c>
      <c r="H47" s="5"/>
      <c r="I47" s="107"/>
      <c r="J47" s="11"/>
      <c r="K47" s="5"/>
      <c r="L47" s="5"/>
    </row>
    <row r="48" spans="1:12" ht="14.25" hidden="1" outlineLevel="1">
      <c r="A48" s="5"/>
      <c r="B48" s="5"/>
      <c r="C48" s="10"/>
      <c r="D48" s="73"/>
      <c r="E48" s="174"/>
      <c r="F48" s="161" t="s">
        <v>230</v>
      </c>
      <c r="G48" s="266">
        <v>0.85</v>
      </c>
      <c r="H48" s="5"/>
      <c r="I48" s="107"/>
      <c r="J48" s="11"/>
      <c r="K48" s="5"/>
      <c r="L48" s="5"/>
    </row>
    <row r="49" spans="1:12" ht="4.5" customHeight="1" hidden="1" outlineLevel="1">
      <c r="A49" s="5"/>
      <c r="B49" s="5"/>
      <c r="C49" s="10"/>
      <c r="D49" s="73"/>
      <c r="E49" s="174"/>
      <c r="F49" s="176"/>
      <c r="G49" s="178"/>
      <c r="H49" s="5"/>
      <c r="I49" s="107"/>
      <c r="J49" s="11"/>
      <c r="K49" s="5"/>
      <c r="L49" s="5"/>
    </row>
    <row r="50" spans="1:12" ht="14.25" hidden="1" outlineLevel="1">
      <c r="A50" s="5"/>
      <c r="B50" s="5"/>
      <c r="C50" s="10"/>
      <c r="D50" s="135" t="s">
        <v>217</v>
      </c>
      <c r="E50" s="242">
        <f>MIN(MAX(0,INPUT!D122),1)</f>
        <v>0.17</v>
      </c>
      <c r="F50" s="5" t="s">
        <v>211</v>
      </c>
      <c r="G50" s="5"/>
      <c r="H50" s="5"/>
      <c r="I50" s="261" t="s">
        <v>348</v>
      </c>
      <c r="J50" s="11"/>
      <c r="K50" s="5"/>
      <c r="L50" s="5"/>
    </row>
    <row r="51" spans="1:12" ht="14.25" hidden="1" outlineLevel="1">
      <c r="A51" s="5"/>
      <c r="B51" s="5"/>
      <c r="C51" s="10"/>
      <c r="D51" s="135" t="s">
        <v>231</v>
      </c>
      <c r="E51" s="173">
        <f>Assumptions!D117</f>
        <v>0.6944444444444444</v>
      </c>
      <c r="F51" s="13" t="s">
        <v>218</v>
      </c>
      <c r="G51" s="5"/>
      <c r="H51" s="5"/>
      <c r="I51" s="261" t="s">
        <v>347</v>
      </c>
      <c r="J51" s="11"/>
      <c r="K51" s="5"/>
      <c r="L51" s="5"/>
    </row>
    <row r="52" spans="1:12" ht="14.25" hidden="1" outlineLevel="1">
      <c r="A52" s="5"/>
      <c r="B52" s="5"/>
      <c r="C52" s="10"/>
      <c r="D52" s="104"/>
      <c r="E52" s="105"/>
      <c r="F52" s="68"/>
      <c r="G52" s="68"/>
      <c r="H52" s="68"/>
      <c r="I52" s="106"/>
      <c r="J52" s="11"/>
      <c r="K52" s="5"/>
      <c r="L52" s="5"/>
    </row>
    <row r="53" spans="1:12" ht="14.25" hidden="1" outlineLevel="1">
      <c r="A53" s="5"/>
      <c r="B53" s="5"/>
      <c r="C53" s="10"/>
      <c r="D53" s="262" t="s">
        <v>362</v>
      </c>
      <c r="E53" s="72"/>
      <c r="F53" s="5"/>
      <c r="G53" s="5"/>
      <c r="H53" s="5"/>
      <c r="I53" s="12"/>
      <c r="J53" s="11"/>
      <c r="K53" s="5"/>
      <c r="L53" s="5"/>
    </row>
    <row r="54" spans="1:12" ht="14.25" hidden="1" outlineLevel="1">
      <c r="A54" s="5"/>
      <c r="B54" s="5"/>
      <c r="C54" s="10"/>
      <c r="D54" s="5"/>
      <c r="E54" s="5"/>
      <c r="F54" s="5"/>
      <c r="G54" s="5"/>
      <c r="H54" s="5"/>
      <c r="I54" s="5"/>
      <c r="J54" s="11"/>
      <c r="K54" s="5"/>
      <c r="L54" s="5"/>
    </row>
    <row r="55" spans="1:12" ht="15" customHeight="1" collapsed="1">
      <c r="A55" s="5"/>
      <c r="B55" s="5"/>
      <c r="C55" s="375" t="s">
        <v>76</v>
      </c>
      <c r="D55" s="375"/>
      <c r="E55" s="375"/>
      <c r="F55" s="375"/>
      <c r="G55" s="375"/>
      <c r="H55" s="375"/>
      <c r="I55" s="375"/>
      <c r="J55" s="375"/>
      <c r="K55" s="5"/>
      <c r="L55" s="5"/>
    </row>
    <row r="56" spans="1:12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 hidden="1" outlineLevel="1" thickBot="1">
      <c r="A57" s="5"/>
      <c r="B57" s="5"/>
      <c r="C57" s="7"/>
      <c r="D57" s="8"/>
      <c r="E57" s="8"/>
      <c r="F57" s="8"/>
      <c r="G57" s="8"/>
      <c r="H57" s="8"/>
      <c r="I57" s="8"/>
      <c r="J57" s="9"/>
      <c r="K57" s="5"/>
      <c r="L57" s="5"/>
    </row>
    <row r="58" spans="1:12" ht="15" hidden="1" outlineLevel="1" thickBot="1">
      <c r="A58" s="5"/>
      <c r="B58" s="5"/>
      <c r="C58" s="10"/>
      <c r="D58" s="109">
        <f>IF(INPUT!D128="yes",E64*E65*E66*E67,0)</f>
        <v>0</v>
      </c>
      <c r="E58" s="5" t="s">
        <v>103</v>
      </c>
      <c r="F58" s="5"/>
      <c r="G58" s="5"/>
      <c r="H58" s="5"/>
      <c r="I58" s="5"/>
      <c r="J58" s="11"/>
      <c r="K58" s="5"/>
      <c r="L58" s="5"/>
    </row>
    <row r="59" spans="1:12" ht="14.25" hidden="1" outlineLevel="1">
      <c r="A59" s="5"/>
      <c r="B59" s="5"/>
      <c r="C59" s="10"/>
      <c r="D59" s="5"/>
      <c r="E59" s="5"/>
      <c r="F59" s="5"/>
      <c r="G59" s="5"/>
      <c r="H59" s="5"/>
      <c r="I59" s="5"/>
      <c r="J59" s="11"/>
      <c r="K59" s="5"/>
      <c r="L59" s="5"/>
    </row>
    <row r="60" spans="1:12" ht="14.25" hidden="1" outlineLevel="1">
      <c r="A60" s="5"/>
      <c r="B60" s="5"/>
      <c r="C60" s="10"/>
      <c r="D60" s="5" t="s">
        <v>102</v>
      </c>
      <c r="E60" s="5"/>
      <c r="F60" s="5"/>
      <c r="G60" s="5"/>
      <c r="H60" s="5"/>
      <c r="I60" s="5"/>
      <c r="J60" s="11"/>
      <c r="K60" s="5"/>
      <c r="L60" s="5"/>
    </row>
    <row r="61" spans="1:12" ht="14.25" hidden="1" outlineLevel="1">
      <c r="A61" s="5"/>
      <c r="B61" s="5"/>
      <c r="C61" s="10"/>
      <c r="D61" s="455" t="s">
        <v>392</v>
      </c>
      <c r="E61" s="456"/>
      <c r="F61" s="456"/>
      <c r="G61" s="456"/>
      <c r="H61" s="456"/>
      <c r="I61" s="457"/>
      <c r="J61" s="11"/>
      <c r="K61" s="5"/>
      <c r="L61" s="5"/>
    </row>
    <row r="62" spans="1:12" ht="14.25" hidden="1" outlineLevel="1">
      <c r="A62" s="5"/>
      <c r="B62" s="5"/>
      <c r="C62" s="10"/>
      <c r="D62" s="458"/>
      <c r="E62" s="459"/>
      <c r="F62" s="459"/>
      <c r="G62" s="459"/>
      <c r="H62" s="459"/>
      <c r="I62" s="460"/>
      <c r="J62" s="11"/>
      <c r="K62" s="5"/>
      <c r="L62" s="5"/>
    </row>
    <row r="63" spans="1:12" ht="14.25" hidden="1" outlineLevel="1">
      <c r="A63" s="5"/>
      <c r="B63" s="5"/>
      <c r="C63" s="10"/>
      <c r="D63" s="102" t="s">
        <v>106</v>
      </c>
      <c r="E63" s="5"/>
      <c r="F63" s="5"/>
      <c r="G63" s="5"/>
      <c r="H63" s="5"/>
      <c r="I63" s="11"/>
      <c r="J63" s="11"/>
      <c r="K63" s="5"/>
      <c r="L63" s="5"/>
    </row>
    <row r="64" spans="1:12" ht="14.25" hidden="1" outlineLevel="1">
      <c r="A64" s="5"/>
      <c r="B64" s="5"/>
      <c r="C64" s="10"/>
      <c r="D64" s="132" t="s">
        <v>110</v>
      </c>
      <c r="E64" s="120">
        <v>0.28</v>
      </c>
      <c r="F64" s="5" t="s">
        <v>234</v>
      </c>
      <c r="G64" s="5"/>
      <c r="H64" s="5"/>
      <c r="I64" s="107"/>
      <c r="J64" s="11"/>
      <c r="K64" s="5"/>
      <c r="L64" s="5"/>
    </row>
    <row r="65" spans="1:12" ht="14.25" hidden="1" outlineLevel="1">
      <c r="A65" s="5"/>
      <c r="B65" s="5"/>
      <c r="C65" s="10"/>
      <c r="D65" s="133" t="s">
        <v>111</v>
      </c>
      <c r="E65" s="180">
        <f>MIN(MAX(0,INPUT!D129),1)</f>
        <v>0.17</v>
      </c>
      <c r="F65" s="5" t="s">
        <v>211</v>
      </c>
      <c r="G65" s="5"/>
      <c r="H65" s="5"/>
      <c r="I65" s="261" t="s">
        <v>348</v>
      </c>
      <c r="J65" s="11"/>
      <c r="K65" s="5"/>
      <c r="L65" s="5"/>
    </row>
    <row r="66" spans="1:12" ht="14.25" hidden="1" outlineLevel="1">
      <c r="A66" s="5"/>
      <c r="B66" s="5"/>
      <c r="C66" s="10"/>
      <c r="D66" s="135" t="s">
        <v>112</v>
      </c>
      <c r="E66" s="181">
        <f>MIN(MAX(0,INPUT!D130),1)</f>
        <v>0.25</v>
      </c>
      <c r="F66" s="5" t="s">
        <v>391</v>
      </c>
      <c r="G66" s="5"/>
      <c r="H66" s="5"/>
      <c r="I66" s="261" t="s">
        <v>348</v>
      </c>
      <c r="J66" s="11"/>
      <c r="K66" s="5"/>
      <c r="L66" s="5"/>
    </row>
    <row r="67" spans="1:12" ht="14.25" hidden="1" outlineLevel="1">
      <c r="A67" s="5"/>
      <c r="B67" s="5"/>
      <c r="C67" s="10"/>
      <c r="D67" s="135" t="s">
        <v>217</v>
      </c>
      <c r="E67" s="108">
        <f>Assumptions!D123</f>
        <v>0.6944444444444444</v>
      </c>
      <c r="F67" s="13" t="s">
        <v>218</v>
      </c>
      <c r="G67" s="5"/>
      <c r="H67" s="5"/>
      <c r="I67" s="261" t="s">
        <v>347</v>
      </c>
      <c r="J67" s="11"/>
      <c r="K67" s="5"/>
      <c r="L67" s="5"/>
    </row>
    <row r="68" spans="1:12" ht="14.25" hidden="1" outlineLevel="1">
      <c r="A68" s="5"/>
      <c r="B68" s="5"/>
      <c r="C68" s="10"/>
      <c r="D68" s="104"/>
      <c r="E68" s="105"/>
      <c r="F68" s="68"/>
      <c r="G68" s="68"/>
      <c r="H68" s="68"/>
      <c r="I68" s="106"/>
      <c r="J68" s="11"/>
      <c r="K68" s="5"/>
      <c r="L68" s="5"/>
    </row>
    <row r="69" spans="1:12" ht="14.25" hidden="1" outlineLevel="1">
      <c r="A69" s="5"/>
      <c r="B69" s="5"/>
      <c r="C69" s="10"/>
      <c r="D69" s="262" t="s">
        <v>363</v>
      </c>
      <c r="E69" s="72"/>
      <c r="F69" s="5"/>
      <c r="G69" s="5"/>
      <c r="H69" s="5"/>
      <c r="I69" s="12"/>
      <c r="J69" s="11"/>
      <c r="K69" s="5"/>
      <c r="L69" s="5"/>
    </row>
    <row r="70" spans="1:12" ht="14.25" hidden="1" outlineLevel="1">
      <c r="A70" s="5"/>
      <c r="B70" s="5"/>
      <c r="C70" s="10"/>
      <c r="D70" s="5"/>
      <c r="E70" s="5"/>
      <c r="F70" s="5"/>
      <c r="G70" s="5"/>
      <c r="H70" s="5"/>
      <c r="I70" s="5"/>
      <c r="J70" s="11"/>
      <c r="K70" s="5"/>
      <c r="L70" s="5"/>
    </row>
    <row r="71" spans="1:12" ht="15" customHeight="1" collapsed="1">
      <c r="A71" s="5"/>
      <c r="B71" s="5"/>
      <c r="C71" s="375" t="s">
        <v>80</v>
      </c>
      <c r="D71" s="375"/>
      <c r="E71" s="375"/>
      <c r="F71" s="375"/>
      <c r="G71" s="375"/>
      <c r="H71" s="375"/>
      <c r="I71" s="375"/>
      <c r="J71" s="375"/>
      <c r="K71" s="5"/>
      <c r="L71" s="5"/>
    </row>
    <row r="72" ht="14.25">
      <c r="L72" s="5"/>
    </row>
  </sheetData>
  <sheetProtection password="85AF" sheet="1" objects="1" scenarios="1"/>
  <mergeCells count="8">
    <mergeCell ref="B4:K4"/>
    <mergeCell ref="C26:J26"/>
    <mergeCell ref="C55:J55"/>
    <mergeCell ref="C71:J71"/>
    <mergeCell ref="D10:I11"/>
    <mergeCell ref="D32:I33"/>
    <mergeCell ref="F44:G44"/>
    <mergeCell ref="D61:I62"/>
  </mergeCells>
  <hyperlinks>
    <hyperlink ref="I13" location="INPUT!A1" display="see input tab"/>
    <hyperlink ref="I21" location="INPUT!A1" display="see input tab"/>
    <hyperlink ref="I35" location="INPUT!A1" display="see input tab"/>
    <hyperlink ref="I44" location="INPUT!A1" display="see input tab"/>
    <hyperlink ref="I50" location="INPUT!A1" display="see input tab"/>
    <hyperlink ref="I65" location="INPUT!A1" display="see input tab"/>
    <hyperlink ref="I66" location="INPUT!A1" display="see input tab"/>
    <hyperlink ref="I22" location="Assumptions!A1" display="see assumptions tab"/>
    <hyperlink ref="I51" location="Assumptions!A1" display="see assumptions tab"/>
    <hyperlink ref="I67" location="Assumptions!A1" display="see assumptions tab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21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 outlineLevelRow="1"/>
  <cols>
    <col min="1" max="1" width="1.28515625" style="0" customWidth="1"/>
    <col min="2" max="2" width="3.57421875" style="0" customWidth="1"/>
    <col min="3" max="3" width="4.8515625" style="0" customWidth="1"/>
    <col min="5" max="9" width="20.140625" style="0" customWidth="1"/>
    <col min="10" max="10" width="7.421875" style="0" customWidth="1"/>
    <col min="11" max="11" width="4.140625" style="0" customWidth="1"/>
  </cols>
  <sheetData>
    <row r="1" spans="2:3" ht="14.25">
      <c r="B1" s="75"/>
      <c r="C1" s="76" t="s">
        <v>117</v>
      </c>
    </row>
    <row r="2" spans="2:3" ht="14.25">
      <c r="B2" s="78"/>
      <c r="C2" s="76" t="s">
        <v>118</v>
      </c>
    </row>
    <row r="3" ht="6" customHeight="1" thickBot="1"/>
    <row r="4" spans="2:11" ht="18.75" thickBot="1">
      <c r="B4" s="366" t="s">
        <v>414</v>
      </c>
      <c r="C4" s="367"/>
      <c r="D4" s="367"/>
      <c r="E4" s="367"/>
      <c r="F4" s="367"/>
      <c r="G4" s="367"/>
      <c r="H4" s="367"/>
      <c r="I4" s="367"/>
      <c r="J4" s="367"/>
      <c r="K4" s="368"/>
    </row>
    <row r="6" spans="1:12" ht="15" hidden="1" outlineLevel="1" thickBot="1">
      <c r="A6" s="5"/>
      <c r="B6" s="5"/>
      <c r="C6" s="7"/>
      <c r="D6" s="8"/>
      <c r="E6" s="8"/>
      <c r="F6" s="8"/>
      <c r="G6" s="8"/>
      <c r="H6" s="8"/>
      <c r="I6" s="8"/>
      <c r="J6" s="9"/>
      <c r="K6" s="5"/>
      <c r="L6" s="5"/>
    </row>
    <row r="7" spans="1:12" ht="15" hidden="1" outlineLevel="1" thickBot="1">
      <c r="A7" s="5"/>
      <c r="B7" s="5"/>
      <c r="C7" s="10"/>
      <c r="D7" s="109">
        <f>IF(INPUT!D138="yes",E13*E14*E15,0)</f>
        <v>0</v>
      </c>
      <c r="E7" s="5" t="s">
        <v>244</v>
      </c>
      <c r="F7" s="5"/>
      <c r="G7" s="5"/>
      <c r="H7" s="5"/>
      <c r="I7" s="5"/>
      <c r="J7" s="11"/>
      <c r="K7" s="5"/>
      <c r="L7" s="5"/>
    </row>
    <row r="8" spans="1:12" ht="14.25" hidden="1" outlineLevel="1">
      <c r="A8" s="5"/>
      <c r="B8" s="5"/>
      <c r="C8" s="10"/>
      <c r="D8" s="5"/>
      <c r="E8" s="5"/>
      <c r="F8" s="5"/>
      <c r="G8" s="5"/>
      <c r="H8" s="5"/>
      <c r="I8" s="5"/>
      <c r="J8" s="11"/>
      <c r="K8" s="5"/>
      <c r="L8" s="5"/>
    </row>
    <row r="9" spans="1:12" ht="14.25" hidden="1" outlineLevel="1">
      <c r="A9" s="5"/>
      <c r="B9" s="5"/>
      <c r="C9" s="10"/>
      <c r="D9" s="5" t="s">
        <v>102</v>
      </c>
      <c r="E9" s="5"/>
      <c r="F9" s="5"/>
      <c r="G9" s="5"/>
      <c r="H9" s="5"/>
      <c r="I9" s="5"/>
      <c r="J9" s="11"/>
      <c r="K9" s="5"/>
      <c r="L9" s="5"/>
    </row>
    <row r="10" spans="1:12" ht="14.25" hidden="1" outlineLevel="1">
      <c r="A10" s="5"/>
      <c r="B10" s="5"/>
      <c r="C10" s="10"/>
      <c r="D10" s="455" t="s">
        <v>259</v>
      </c>
      <c r="E10" s="456"/>
      <c r="F10" s="456"/>
      <c r="G10" s="456"/>
      <c r="H10" s="456"/>
      <c r="I10" s="457"/>
      <c r="J10" s="11"/>
      <c r="K10" s="5"/>
      <c r="L10" s="5"/>
    </row>
    <row r="11" spans="1:12" ht="14.25" hidden="1" outlineLevel="1">
      <c r="A11" s="5"/>
      <c r="B11" s="5"/>
      <c r="C11" s="10"/>
      <c r="D11" s="458"/>
      <c r="E11" s="459"/>
      <c r="F11" s="459"/>
      <c r="G11" s="459"/>
      <c r="H11" s="459"/>
      <c r="I11" s="460"/>
      <c r="J11" s="11"/>
      <c r="K11" s="5"/>
      <c r="L11" s="5"/>
    </row>
    <row r="12" spans="1:12" ht="14.25" hidden="1" outlineLevel="1">
      <c r="A12" s="5"/>
      <c r="B12" s="5"/>
      <c r="C12" s="10"/>
      <c r="D12" s="102" t="s">
        <v>106</v>
      </c>
      <c r="E12" s="5"/>
      <c r="F12" s="5"/>
      <c r="G12" s="5"/>
      <c r="H12" s="5"/>
      <c r="I12" s="11"/>
      <c r="J12" s="11"/>
      <c r="K12" s="5"/>
      <c r="L12" s="5"/>
    </row>
    <row r="13" spans="1:12" ht="14.25" hidden="1" outlineLevel="1">
      <c r="A13" s="5"/>
      <c r="B13" s="5"/>
      <c r="C13" s="10"/>
      <c r="D13" s="132" t="s">
        <v>110</v>
      </c>
      <c r="E13" s="120">
        <v>0.21</v>
      </c>
      <c r="F13" s="5" t="s">
        <v>241</v>
      </c>
      <c r="G13" s="5"/>
      <c r="H13" s="5"/>
      <c r="I13" s="107"/>
      <c r="J13" s="11"/>
      <c r="K13" s="5"/>
      <c r="L13" s="5"/>
    </row>
    <row r="14" spans="1:12" ht="14.25" hidden="1" outlineLevel="1">
      <c r="A14" s="5"/>
      <c r="B14" s="5"/>
      <c r="C14" s="10"/>
      <c r="D14" s="133" t="s">
        <v>111</v>
      </c>
      <c r="E14" s="180">
        <f>MIN(MAX(0,INPUT!D139),1)</f>
        <v>1</v>
      </c>
      <c r="F14" s="5" t="s">
        <v>240</v>
      </c>
      <c r="G14" s="5"/>
      <c r="H14" s="5"/>
      <c r="I14" s="261" t="s">
        <v>348</v>
      </c>
      <c r="J14" s="11"/>
      <c r="K14" s="5"/>
      <c r="L14" s="5"/>
    </row>
    <row r="15" spans="1:12" ht="14.25" hidden="1" outlineLevel="1">
      <c r="A15" s="5"/>
      <c r="B15" s="5"/>
      <c r="C15" s="10"/>
      <c r="D15" s="135" t="s">
        <v>112</v>
      </c>
      <c r="E15" s="119">
        <f>Assumptions!D132</f>
        <v>1</v>
      </c>
      <c r="F15" s="5" t="s">
        <v>242</v>
      </c>
      <c r="G15" s="5"/>
      <c r="H15" s="5"/>
      <c r="I15" s="261" t="s">
        <v>347</v>
      </c>
      <c r="J15" s="11"/>
      <c r="K15" s="5"/>
      <c r="L15" s="5"/>
    </row>
    <row r="16" spans="1:12" ht="14.25" hidden="1" outlineLevel="1">
      <c r="A16" s="5"/>
      <c r="B16" s="5"/>
      <c r="C16" s="10"/>
      <c r="D16" s="104"/>
      <c r="E16" s="105"/>
      <c r="F16" s="68"/>
      <c r="G16" s="68"/>
      <c r="H16" s="68"/>
      <c r="I16" s="106"/>
      <c r="J16" s="11"/>
      <c r="K16" s="5"/>
      <c r="L16" s="5"/>
    </row>
    <row r="17" spans="1:12" ht="14.25" hidden="1" outlineLevel="1">
      <c r="A17" s="5"/>
      <c r="B17" s="5"/>
      <c r="C17" s="10"/>
      <c r="D17" s="262" t="s">
        <v>364</v>
      </c>
      <c r="E17" s="72"/>
      <c r="F17" s="5"/>
      <c r="G17" s="5"/>
      <c r="H17" s="5"/>
      <c r="I17" s="12"/>
      <c r="J17" s="11"/>
      <c r="K17" s="5"/>
      <c r="L17" s="5"/>
    </row>
    <row r="18" spans="1:12" ht="14.25" hidden="1" outlineLevel="1">
      <c r="A18" s="5"/>
      <c r="B18" s="5"/>
      <c r="C18" s="10"/>
      <c r="D18" s="5"/>
      <c r="E18" s="5"/>
      <c r="F18" s="5"/>
      <c r="G18" s="5"/>
      <c r="H18" s="5"/>
      <c r="I18" s="5"/>
      <c r="J18" s="11"/>
      <c r="K18" s="5"/>
      <c r="L18" s="5"/>
    </row>
    <row r="19" spans="1:12" ht="15" customHeight="1" collapsed="1">
      <c r="A19" s="5"/>
      <c r="B19" s="5"/>
      <c r="C19" s="355" t="s">
        <v>238</v>
      </c>
      <c r="D19" s="356"/>
      <c r="E19" s="356"/>
      <c r="F19" s="356"/>
      <c r="G19" s="356"/>
      <c r="H19" s="356"/>
      <c r="I19" s="356"/>
      <c r="J19" s="357"/>
      <c r="K19" s="5"/>
      <c r="L19" s="5"/>
    </row>
    <row r="20" spans="1:12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 hidden="1" outlineLevel="1" thickBot="1">
      <c r="A21" s="5"/>
      <c r="B21" s="5"/>
      <c r="C21" s="7"/>
      <c r="D21" s="8"/>
      <c r="E21" s="8"/>
      <c r="F21" s="8"/>
      <c r="G21" s="8"/>
      <c r="H21" s="8"/>
      <c r="I21" s="8"/>
      <c r="J21" s="9"/>
      <c r="K21" s="5"/>
      <c r="L21" s="5"/>
    </row>
    <row r="22" spans="1:12" ht="15" hidden="1" outlineLevel="1" thickBot="1">
      <c r="A22" s="5"/>
      <c r="B22" s="5"/>
      <c r="C22" s="10"/>
      <c r="D22" s="109">
        <f>IF(INPUT!D144="yes",E27*E34,0)</f>
        <v>0</v>
      </c>
      <c r="E22" s="5" t="s">
        <v>244</v>
      </c>
      <c r="F22" s="5"/>
      <c r="G22" s="5"/>
      <c r="H22" s="5"/>
      <c r="I22" s="5"/>
      <c r="J22" s="11"/>
      <c r="K22" s="5"/>
      <c r="L22" s="5"/>
    </row>
    <row r="23" spans="1:12" ht="14.25" hidden="1" outlineLevel="1">
      <c r="A23" s="5"/>
      <c r="B23" s="5"/>
      <c r="C23" s="10"/>
      <c r="D23" s="5"/>
      <c r="E23" s="5"/>
      <c r="F23" s="5"/>
      <c r="G23" s="5"/>
      <c r="H23" s="5"/>
      <c r="I23" s="5"/>
      <c r="J23" s="11"/>
      <c r="K23" s="5"/>
      <c r="L23" s="5"/>
    </row>
    <row r="24" spans="1:12" ht="14.25" hidden="1" outlineLevel="1">
      <c r="A24" s="5"/>
      <c r="B24" s="5"/>
      <c r="C24" s="10"/>
      <c r="D24" s="5" t="s">
        <v>102</v>
      </c>
      <c r="E24" s="5"/>
      <c r="F24" s="5"/>
      <c r="G24" s="5"/>
      <c r="H24" s="5"/>
      <c r="I24" s="5"/>
      <c r="J24" s="11"/>
      <c r="K24" s="5"/>
      <c r="L24" s="5"/>
    </row>
    <row r="25" spans="1:12" ht="15" customHeight="1" hidden="1" outlineLevel="1">
      <c r="A25" s="5"/>
      <c r="B25" s="5"/>
      <c r="C25" s="10"/>
      <c r="D25" s="455" t="s">
        <v>260</v>
      </c>
      <c r="E25" s="456"/>
      <c r="F25" s="456"/>
      <c r="G25" s="456"/>
      <c r="H25" s="456"/>
      <c r="I25" s="457"/>
      <c r="J25" s="11"/>
      <c r="K25" s="5"/>
      <c r="L25" s="5"/>
    </row>
    <row r="26" spans="1:12" ht="14.25" hidden="1" outlineLevel="1">
      <c r="A26" s="5"/>
      <c r="B26" s="5"/>
      <c r="C26" s="10"/>
      <c r="D26" s="102" t="s">
        <v>106</v>
      </c>
      <c r="E26" s="5"/>
      <c r="F26" s="5"/>
      <c r="G26" s="5"/>
      <c r="H26" s="5"/>
      <c r="I26" s="11"/>
      <c r="J26" s="11"/>
      <c r="K26" s="5"/>
      <c r="L26" s="5"/>
    </row>
    <row r="27" spans="1:12" ht="14.25" hidden="1" outlineLevel="1">
      <c r="A27" s="5"/>
      <c r="B27" s="5"/>
      <c r="C27" s="10"/>
      <c r="D27" s="132" t="s">
        <v>110</v>
      </c>
      <c r="E27" s="181">
        <f>VLOOKUP(INPUT!C7,CTR!F29:G33,2,FALSE)</f>
        <v>0.054</v>
      </c>
      <c r="F27" s="5" t="s">
        <v>243</v>
      </c>
      <c r="G27" s="5"/>
      <c r="H27" s="5"/>
      <c r="I27" s="107"/>
      <c r="J27" s="11"/>
      <c r="K27" s="5"/>
      <c r="L27" s="5"/>
    </row>
    <row r="28" spans="1:12" ht="14.25" hidden="1" outlineLevel="1">
      <c r="A28" s="5"/>
      <c r="B28" s="5"/>
      <c r="C28" s="10"/>
      <c r="D28" s="135"/>
      <c r="E28" s="163"/>
      <c r="F28" s="164" t="s">
        <v>208</v>
      </c>
      <c r="G28" s="185" t="s">
        <v>245</v>
      </c>
      <c r="H28" s="5"/>
      <c r="I28" s="107"/>
      <c r="J28" s="11"/>
      <c r="K28" s="5"/>
      <c r="L28" s="5"/>
    </row>
    <row r="29" spans="1:12" ht="14.25" hidden="1" outlineLevel="1">
      <c r="A29" s="5"/>
      <c r="B29" s="5"/>
      <c r="C29" s="10"/>
      <c r="D29" s="135"/>
      <c r="E29" s="163"/>
      <c r="F29" s="164" t="s">
        <v>221</v>
      </c>
      <c r="G29" s="188">
        <v>0.062</v>
      </c>
      <c r="H29" s="5"/>
      <c r="I29" s="107"/>
      <c r="J29" s="11"/>
      <c r="K29" s="5"/>
      <c r="L29" s="5"/>
    </row>
    <row r="30" spans="1:12" ht="14.25" hidden="1" outlineLevel="1">
      <c r="A30" s="5"/>
      <c r="B30" s="5"/>
      <c r="C30" s="10"/>
      <c r="D30" s="135"/>
      <c r="E30" s="163"/>
      <c r="F30" s="160" t="s">
        <v>220</v>
      </c>
      <c r="G30" s="188">
        <v>0.062</v>
      </c>
      <c r="H30" s="5"/>
      <c r="I30" s="107"/>
      <c r="J30" s="11"/>
      <c r="K30" s="5"/>
      <c r="L30" s="5"/>
    </row>
    <row r="31" spans="1:12" ht="14.25" hidden="1" outlineLevel="1">
      <c r="A31" s="5"/>
      <c r="B31" s="5"/>
      <c r="C31" s="10"/>
      <c r="D31" s="135"/>
      <c r="E31" s="163"/>
      <c r="F31" s="160" t="s">
        <v>232</v>
      </c>
      <c r="G31" s="188">
        <v>0.062</v>
      </c>
      <c r="H31" s="5"/>
      <c r="I31" s="107"/>
      <c r="J31" s="11"/>
      <c r="K31" s="5"/>
      <c r="L31" s="5"/>
    </row>
    <row r="32" spans="1:12" ht="14.25" hidden="1" outlineLevel="1">
      <c r="A32" s="5"/>
      <c r="B32" s="5"/>
      <c r="C32" s="10"/>
      <c r="D32" s="135"/>
      <c r="E32" s="163"/>
      <c r="F32" s="160" t="s">
        <v>233</v>
      </c>
      <c r="G32" s="188">
        <v>0.054</v>
      </c>
      <c r="H32" s="5"/>
      <c r="I32" s="107"/>
      <c r="J32" s="11"/>
      <c r="K32" s="5"/>
      <c r="L32" s="5"/>
    </row>
    <row r="33" spans="1:12" ht="14.25" hidden="1" outlineLevel="1">
      <c r="A33" s="5"/>
      <c r="B33" s="5"/>
      <c r="C33" s="10"/>
      <c r="D33" s="135"/>
      <c r="E33" s="163"/>
      <c r="F33" s="160" t="s">
        <v>219</v>
      </c>
      <c r="G33" s="188">
        <v>0.052</v>
      </c>
      <c r="H33" s="5"/>
      <c r="I33" s="107"/>
      <c r="J33" s="11"/>
      <c r="K33" s="5"/>
      <c r="L33" s="5"/>
    </row>
    <row r="34" spans="1:12" ht="14.25" hidden="1" outlineLevel="1">
      <c r="A34" s="5"/>
      <c r="B34" s="5"/>
      <c r="C34" s="10"/>
      <c r="D34" s="133" t="s">
        <v>111</v>
      </c>
      <c r="E34" s="180">
        <f>MIN(MAX(0,INPUT!D145),1)</f>
        <v>0.5</v>
      </c>
      <c r="F34" s="5" t="s">
        <v>240</v>
      </c>
      <c r="G34" s="5"/>
      <c r="H34" s="5"/>
      <c r="I34" s="261" t="s">
        <v>348</v>
      </c>
      <c r="J34" s="11"/>
      <c r="K34" s="5"/>
      <c r="L34" s="5"/>
    </row>
    <row r="35" spans="1:12" ht="14.25" hidden="1" outlineLevel="1">
      <c r="A35" s="5"/>
      <c r="B35" s="5"/>
      <c r="C35" s="10"/>
      <c r="D35" s="104"/>
      <c r="E35" s="105"/>
      <c r="F35" s="68"/>
      <c r="G35" s="68"/>
      <c r="H35" s="68"/>
      <c r="I35" s="106"/>
      <c r="J35" s="11"/>
      <c r="K35" s="5"/>
      <c r="L35" s="5"/>
    </row>
    <row r="36" spans="1:12" ht="14.25" hidden="1" outlineLevel="1">
      <c r="A36" s="5"/>
      <c r="B36" s="5"/>
      <c r="C36" s="10"/>
      <c r="D36" s="262" t="s">
        <v>365</v>
      </c>
      <c r="E36" s="72"/>
      <c r="F36" s="5"/>
      <c r="G36" s="5"/>
      <c r="H36" s="5"/>
      <c r="I36" s="12"/>
      <c r="J36" s="11"/>
      <c r="K36" s="5"/>
      <c r="L36" s="5"/>
    </row>
    <row r="37" spans="1:12" ht="14.25" hidden="1" outlineLevel="1">
      <c r="A37" s="5"/>
      <c r="B37" s="5"/>
      <c r="C37" s="10"/>
      <c r="D37" s="5"/>
      <c r="E37" s="5"/>
      <c r="F37" s="5"/>
      <c r="G37" s="5"/>
      <c r="H37" s="5"/>
      <c r="I37" s="5"/>
      <c r="J37" s="11"/>
      <c r="K37" s="5"/>
      <c r="L37" s="5"/>
    </row>
    <row r="38" spans="1:12" ht="15" customHeight="1" collapsed="1">
      <c r="A38" s="5"/>
      <c r="B38" s="5"/>
      <c r="C38" s="355" t="s">
        <v>239</v>
      </c>
      <c r="D38" s="356"/>
      <c r="E38" s="356"/>
      <c r="F38" s="356"/>
      <c r="G38" s="356"/>
      <c r="H38" s="356"/>
      <c r="I38" s="356"/>
      <c r="J38" s="357"/>
      <c r="K38" s="5"/>
      <c r="L38" s="5"/>
    </row>
    <row r="39" spans="1:12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" hidden="1" outlineLevel="1" thickBot="1">
      <c r="A40" s="5"/>
      <c r="B40" s="5"/>
      <c r="C40" s="7"/>
      <c r="D40" s="8"/>
      <c r="E40" s="8"/>
      <c r="F40" s="8"/>
      <c r="G40" s="8"/>
      <c r="H40" s="8"/>
      <c r="I40" s="8"/>
      <c r="J40" s="9"/>
      <c r="K40" s="5"/>
      <c r="L40" s="5"/>
    </row>
    <row r="41" spans="1:12" ht="15" hidden="1" outlineLevel="1" thickBot="1">
      <c r="A41" s="5"/>
      <c r="B41" s="5"/>
      <c r="C41" s="10"/>
      <c r="D41" s="109">
        <f>IF(INPUT!D150="yes",CTR!E46*CTR!E56*CTR!E57,0)</f>
        <v>0</v>
      </c>
      <c r="E41" s="5" t="s">
        <v>244</v>
      </c>
      <c r="F41" s="5"/>
      <c r="G41" s="5"/>
      <c r="H41" s="5"/>
      <c r="I41" s="5"/>
      <c r="J41" s="11"/>
      <c r="K41" s="5"/>
      <c r="L41" s="5"/>
    </row>
    <row r="42" spans="1:12" ht="14.25" hidden="1" outlineLevel="1">
      <c r="A42" s="5"/>
      <c r="B42" s="5"/>
      <c r="C42" s="10"/>
      <c r="D42" s="5"/>
      <c r="E42" s="5"/>
      <c r="F42" s="5"/>
      <c r="G42" s="5"/>
      <c r="H42" s="5"/>
      <c r="I42" s="5"/>
      <c r="J42" s="11"/>
      <c r="K42" s="5"/>
      <c r="L42" s="5"/>
    </row>
    <row r="43" spans="1:12" ht="14.25" hidden="1" outlineLevel="1">
      <c r="A43" s="5"/>
      <c r="B43" s="5"/>
      <c r="C43" s="10"/>
      <c r="D43" s="5" t="s">
        <v>102</v>
      </c>
      <c r="E43" s="5"/>
      <c r="F43" s="5"/>
      <c r="G43" s="5"/>
      <c r="H43" s="5"/>
      <c r="I43" s="5"/>
      <c r="J43" s="11"/>
      <c r="K43" s="5"/>
      <c r="L43" s="5"/>
    </row>
    <row r="44" spans="1:12" ht="28.5" customHeight="1" hidden="1" outlineLevel="1">
      <c r="A44" s="5"/>
      <c r="B44" s="5"/>
      <c r="C44" s="10"/>
      <c r="D44" s="455" t="s">
        <v>261</v>
      </c>
      <c r="E44" s="456"/>
      <c r="F44" s="456"/>
      <c r="G44" s="456"/>
      <c r="H44" s="456"/>
      <c r="I44" s="457"/>
      <c r="J44" s="11"/>
      <c r="K44" s="5"/>
      <c r="L44" s="5"/>
    </row>
    <row r="45" spans="1:12" ht="14.25" hidden="1" outlineLevel="1">
      <c r="A45" s="5"/>
      <c r="B45" s="5"/>
      <c r="C45" s="10"/>
      <c r="D45" s="102" t="s">
        <v>106</v>
      </c>
      <c r="E45" s="5"/>
      <c r="F45" s="5"/>
      <c r="G45" s="5"/>
      <c r="H45" s="5"/>
      <c r="I45" s="11"/>
      <c r="J45" s="11"/>
      <c r="K45" s="5"/>
      <c r="L45" s="5"/>
    </row>
    <row r="46" spans="1:12" ht="14.25" hidden="1" outlineLevel="1">
      <c r="A46" s="5"/>
      <c r="B46" s="5"/>
      <c r="C46" s="10"/>
      <c r="D46" s="132" t="s">
        <v>110</v>
      </c>
      <c r="E46" s="181">
        <f>VLOOKUP(INPUT!C7,CTR!E50:I54,MATCH(INPUT!D152,CTR!E48:I48,0),FALSE)</f>
        <v>0.073</v>
      </c>
      <c r="F46" s="5" t="s">
        <v>246</v>
      </c>
      <c r="G46" s="5"/>
      <c r="H46" s="5"/>
      <c r="I46" s="107"/>
      <c r="J46" s="11"/>
      <c r="K46" s="5"/>
      <c r="L46" s="5"/>
    </row>
    <row r="47" spans="1:12" ht="14.25" hidden="1" outlineLevel="1">
      <c r="A47" s="5"/>
      <c r="B47" s="5"/>
      <c r="C47" s="10"/>
      <c r="D47" s="132"/>
      <c r="E47" s="193"/>
      <c r="F47" s="475" t="s">
        <v>394</v>
      </c>
      <c r="G47" s="475"/>
      <c r="H47" s="475"/>
      <c r="I47" s="476"/>
      <c r="J47" s="11"/>
      <c r="K47" s="5"/>
      <c r="L47" s="5"/>
    </row>
    <row r="48" spans="1:12" ht="14.25" hidden="1" outlineLevel="1">
      <c r="A48" s="5"/>
      <c r="B48" s="5"/>
      <c r="C48" s="73"/>
      <c r="D48" s="10"/>
      <c r="F48" s="192">
        <v>0.75</v>
      </c>
      <c r="G48" s="192">
        <v>1.49</v>
      </c>
      <c r="H48" s="190">
        <v>2.98</v>
      </c>
      <c r="I48" s="190">
        <v>5.96</v>
      </c>
      <c r="J48" s="11"/>
      <c r="K48" s="5"/>
      <c r="L48" s="126"/>
    </row>
    <row r="49" spans="1:12" ht="14.25" hidden="1" outlineLevel="1">
      <c r="A49" s="5"/>
      <c r="B49" s="5"/>
      <c r="C49" s="73"/>
      <c r="D49" s="10"/>
      <c r="E49" s="194" t="s">
        <v>248</v>
      </c>
      <c r="F49" s="477" t="s">
        <v>249</v>
      </c>
      <c r="G49" s="478"/>
      <c r="H49" s="478"/>
      <c r="I49" s="479"/>
      <c r="J49" s="11"/>
      <c r="K49" s="5"/>
      <c r="L49" s="126"/>
    </row>
    <row r="50" spans="1:12" ht="14.25" hidden="1" outlineLevel="1">
      <c r="A50" s="5"/>
      <c r="B50" s="5"/>
      <c r="C50" s="73"/>
      <c r="D50" s="10"/>
      <c r="E50" s="164" t="s">
        <v>221</v>
      </c>
      <c r="F50" s="196">
        <v>0.062</v>
      </c>
      <c r="G50" s="196">
        <v>0.129</v>
      </c>
      <c r="H50" s="196">
        <v>0.2</v>
      </c>
      <c r="I50" s="196">
        <v>0.2</v>
      </c>
      <c r="J50" s="11"/>
      <c r="K50" s="5"/>
      <c r="L50" s="126"/>
    </row>
    <row r="51" spans="1:12" ht="14.25" hidden="1" outlineLevel="1">
      <c r="A51" s="5"/>
      <c r="B51" s="5"/>
      <c r="C51" s="73"/>
      <c r="D51" s="10"/>
      <c r="E51" s="160" t="s">
        <v>220</v>
      </c>
      <c r="F51" s="196">
        <v>0.062</v>
      </c>
      <c r="G51" s="196">
        <v>0.129</v>
      </c>
      <c r="H51" s="196">
        <v>0.2</v>
      </c>
      <c r="I51" s="196">
        <v>0.2</v>
      </c>
      <c r="J51" s="11"/>
      <c r="K51" s="5"/>
      <c r="L51" s="126"/>
    </row>
    <row r="52" spans="1:12" ht="14.25" hidden="1" outlineLevel="1">
      <c r="A52" s="5"/>
      <c r="B52" s="5"/>
      <c r="C52" s="73"/>
      <c r="D52" s="10"/>
      <c r="E52" s="160" t="s">
        <v>232</v>
      </c>
      <c r="F52" s="196">
        <v>0.062</v>
      </c>
      <c r="G52" s="196">
        <v>0.129</v>
      </c>
      <c r="H52" s="196">
        <v>0.2</v>
      </c>
      <c r="I52" s="196">
        <v>0.2</v>
      </c>
      <c r="J52" s="11"/>
      <c r="K52" s="5"/>
      <c r="L52" s="126"/>
    </row>
    <row r="53" spans="1:12" ht="14.25" hidden="1" outlineLevel="1">
      <c r="A53" s="5"/>
      <c r="B53" s="5"/>
      <c r="C53" s="73"/>
      <c r="D53" s="10"/>
      <c r="E53" s="160" t="s">
        <v>233</v>
      </c>
      <c r="F53" s="196">
        <v>0.034</v>
      </c>
      <c r="G53" s="196">
        <v>0.073</v>
      </c>
      <c r="H53" s="196">
        <v>0.164</v>
      </c>
      <c r="I53" s="196">
        <v>0.2</v>
      </c>
      <c r="J53" s="11"/>
      <c r="K53" s="5"/>
      <c r="L53" s="126"/>
    </row>
    <row r="54" spans="1:12" ht="14.25" hidden="1" outlineLevel="1">
      <c r="A54" s="5"/>
      <c r="B54" s="5"/>
      <c r="C54" s="10"/>
      <c r="D54" s="132"/>
      <c r="E54" s="160" t="s">
        <v>219</v>
      </c>
      <c r="F54" s="196">
        <v>0.015</v>
      </c>
      <c r="G54" s="196">
        <v>0.033</v>
      </c>
      <c r="H54" s="196">
        <v>0.079</v>
      </c>
      <c r="I54" s="196">
        <v>0.2</v>
      </c>
      <c r="J54" s="11"/>
      <c r="K54" s="5"/>
      <c r="L54" s="5"/>
    </row>
    <row r="55" spans="1:12" ht="14.25" hidden="1" outlineLevel="1">
      <c r="A55" s="5"/>
      <c r="B55" s="5"/>
      <c r="C55" s="10"/>
      <c r="D55" s="132"/>
      <c r="E55" s="5"/>
      <c r="F55" s="5"/>
      <c r="G55" s="5"/>
      <c r="H55" s="5"/>
      <c r="I55" s="107"/>
      <c r="J55" s="11"/>
      <c r="K55" s="5"/>
      <c r="L55" s="5"/>
    </row>
    <row r="56" spans="1:12" ht="14.25" hidden="1" outlineLevel="1">
      <c r="A56" s="5"/>
      <c r="B56" s="5"/>
      <c r="C56" s="10"/>
      <c r="D56" s="133" t="s">
        <v>111</v>
      </c>
      <c r="E56" s="180">
        <f>MIN(MAX(INPUT!D151,0),1)</f>
        <v>1</v>
      </c>
      <c r="F56" s="5" t="s">
        <v>240</v>
      </c>
      <c r="G56" s="5"/>
      <c r="H56" s="5"/>
      <c r="I56" s="261" t="s">
        <v>348</v>
      </c>
      <c r="J56" s="11"/>
      <c r="K56" s="5"/>
      <c r="L56" s="5"/>
    </row>
    <row r="57" spans="1:12" ht="14.25" hidden="1" outlineLevel="1">
      <c r="A57" s="5"/>
      <c r="B57" s="5"/>
      <c r="C57" s="10"/>
      <c r="D57" s="135" t="s">
        <v>112</v>
      </c>
      <c r="E57" s="195">
        <f>Assumptions!D143</f>
        <v>1</v>
      </c>
      <c r="F57" s="5" t="s">
        <v>247</v>
      </c>
      <c r="G57" s="5"/>
      <c r="H57" s="5"/>
      <c r="I57" s="261" t="s">
        <v>347</v>
      </c>
      <c r="J57" s="11"/>
      <c r="K57" s="5"/>
      <c r="L57" s="5"/>
    </row>
    <row r="58" spans="1:12" ht="14.25" hidden="1" outlineLevel="1">
      <c r="A58" s="5"/>
      <c r="B58" s="5"/>
      <c r="C58" s="10"/>
      <c r="D58" s="104"/>
      <c r="E58" s="105"/>
      <c r="F58" s="68"/>
      <c r="G58" s="68"/>
      <c r="H58" s="68"/>
      <c r="I58" s="106"/>
      <c r="J58" s="11"/>
      <c r="K58" s="5"/>
      <c r="L58" s="5"/>
    </row>
    <row r="59" spans="1:12" ht="14.25" hidden="1" outlineLevel="1">
      <c r="A59" s="5"/>
      <c r="B59" s="5"/>
      <c r="C59" s="10"/>
      <c r="D59" s="262" t="s">
        <v>366</v>
      </c>
      <c r="E59" s="72"/>
      <c r="F59" s="5"/>
      <c r="G59" s="5"/>
      <c r="H59" s="5"/>
      <c r="I59" s="12"/>
      <c r="J59" s="11"/>
      <c r="K59" s="5"/>
      <c r="L59" s="5"/>
    </row>
    <row r="60" spans="1:12" ht="14.25" hidden="1" outlineLevel="1">
      <c r="A60" s="5"/>
      <c r="B60" s="5"/>
      <c r="C60" s="10"/>
      <c r="D60" s="5"/>
      <c r="E60" s="5"/>
      <c r="F60" s="5"/>
      <c r="G60" s="5"/>
      <c r="H60" s="5"/>
      <c r="I60" s="5"/>
      <c r="J60" s="11"/>
      <c r="K60" s="5"/>
      <c r="L60" s="5"/>
    </row>
    <row r="61" spans="1:12" ht="15" customHeight="1" collapsed="1">
      <c r="A61" s="5"/>
      <c r="B61" s="5"/>
      <c r="C61" s="355" t="s">
        <v>77</v>
      </c>
      <c r="D61" s="356"/>
      <c r="E61" s="356"/>
      <c r="F61" s="356"/>
      <c r="G61" s="356"/>
      <c r="H61" s="356"/>
      <c r="I61" s="356"/>
      <c r="J61" s="357"/>
      <c r="K61" s="5"/>
      <c r="L61" s="5"/>
    </row>
    <row r="62" spans="1:12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 hidden="1" outlineLevel="1" thickBot="1">
      <c r="A63" s="5"/>
      <c r="B63" s="5"/>
      <c r="C63" s="7"/>
      <c r="D63" s="8"/>
      <c r="E63" s="8"/>
      <c r="F63" s="8"/>
      <c r="G63" s="8"/>
      <c r="H63" s="8"/>
      <c r="I63" s="8"/>
      <c r="J63" s="9"/>
      <c r="K63" s="5"/>
      <c r="L63" s="5"/>
    </row>
    <row r="64" spans="1:12" ht="15" hidden="1" outlineLevel="1" thickBot="1">
      <c r="A64" s="5"/>
      <c r="B64" s="5"/>
      <c r="C64" s="10"/>
      <c r="D64" s="109">
        <f>IF(INPUT!D157="yes",E69*E76,0)</f>
        <v>0</v>
      </c>
      <c r="E64" s="5" t="s">
        <v>244</v>
      </c>
      <c r="F64" s="5"/>
      <c r="G64" s="5"/>
      <c r="H64" s="5"/>
      <c r="I64" s="5"/>
      <c r="J64" s="11"/>
      <c r="K64" s="5"/>
      <c r="L64" s="5"/>
    </row>
    <row r="65" spans="1:12" ht="14.25" hidden="1" outlineLevel="1">
      <c r="A65" s="5"/>
      <c r="B65" s="5"/>
      <c r="C65" s="10"/>
      <c r="D65" s="5"/>
      <c r="E65" s="5"/>
      <c r="F65" s="5"/>
      <c r="G65" s="5"/>
      <c r="H65" s="5"/>
      <c r="I65" s="5"/>
      <c r="J65" s="11"/>
      <c r="K65" s="5"/>
      <c r="L65" s="5"/>
    </row>
    <row r="66" spans="1:12" ht="14.25" hidden="1" outlineLevel="1">
      <c r="A66" s="5"/>
      <c r="B66" s="5"/>
      <c r="C66" s="10"/>
      <c r="D66" s="5" t="s">
        <v>102</v>
      </c>
      <c r="E66" s="5"/>
      <c r="F66" s="5"/>
      <c r="G66" s="5"/>
      <c r="H66" s="5"/>
      <c r="I66" s="5"/>
      <c r="J66" s="11"/>
      <c r="K66" s="5"/>
      <c r="L66" s="5"/>
    </row>
    <row r="67" spans="1:12" ht="14.25" hidden="1" outlineLevel="1">
      <c r="A67" s="5"/>
      <c r="B67" s="5"/>
      <c r="C67" s="10"/>
      <c r="D67" s="455" t="s">
        <v>260</v>
      </c>
      <c r="E67" s="456"/>
      <c r="F67" s="456"/>
      <c r="G67" s="456"/>
      <c r="H67" s="456"/>
      <c r="I67" s="457"/>
      <c r="J67" s="11"/>
      <c r="K67" s="5"/>
      <c r="L67" s="5"/>
    </row>
    <row r="68" spans="1:12" ht="14.25" hidden="1" outlineLevel="1">
      <c r="A68" s="5"/>
      <c r="B68" s="5"/>
      <c r="C68" s="10"/>
      <c r="D68" s="102" t="s">
        <v>106</v>
      </c>
      <c r="E68" s="5"/>
      <c r="F68" s="5"/>
      <c r="G68" s="5"/>
      <c r="H68" s="5"/>
      <c r="I68" s="11"/>
      <c r="J68" s="11"/>
      <c r="K68" s="5"/>
      <c r="L68" s="5"/>
    </row>
    <row r="69" spans="1:12" ht="14.25" hidden="1" outlineLevel="1">
      <c r="A69" s="5"/>
      <c r="B69" s="5"/>
      <c r="C69" s="10"/>
      <c r="D69" s="132" t="s">
        <v>110</v>
      </c>
      <c r="E69" s="181">
        <f>VLOOKUP(INPUT!C7,CTR!F71:G75,2,FALSE)</f>
        <v>0.045</v>
      </c>
      <c r="F69" s="5" t="s">
        <v>246</v>
      </c>
      <c r="G69" s="5"/>
      <c r="H69" s="5"/>
      <c r="I69" s="107"/>
      <c r="J69" s="11"/>
      <c r="K69" s="5"/>
      <c r="L69" s="5"/>
    </row>
    <row r="70" spans="1:12" ht="14.25" hidden="1" outlineLevel="1">
      <c r="A70" s="5"/>
      <c r="B70" s="5"/>
      <c r="C70" s="10"/>
      <c r="D70" s="135"/>
      <c r="E70" s="163"/>
      <c r="F70" s="164" t="s">
        <v>208</v>
      </c>
      <c r="G70" s="186" t="s">
        <v>245</v>
      </c>
      <c r="H70" s="5"/>
      <c r="I70" s="107"/>
      <c r="J70" s="11"/>
      <c r="K70" s="5"/>
      <c r="L70" s="5"/>
    </row>
    <row r="71" spans="1:12" ht="14.25" hidden="1" outlineLevel="1">
      <c r="A71" s="5"/>
      <c r="B71" s="5"/>
      <c r="C71" s="10"/>
      <c r="D71" s="135"/>
      <c r="E71" s="163"/>
      <c r="F71" s="164" t="s">
        <v>221</v>
      </c>
      <c r="G71" s="188">
        <v>0.077</v>
      </c>
      <c r="H71" s="5"/>
      <c r="I71" s="107"/>
      <c r="J71" s="11"/>
      <c r="K71" s="5"/>
      <c r="L71" s="5"/>
    </row>
    <row r="72" spans="1:12" ht="14.25" hidden="1" outlineLevel="1">
      <c r="A72" s="5"/>
      <c r="B72" s="5"/>
      <c r="C72" s="10"/>
      <c r="D72" s="135"/>
      <c r="E72" s="163"/>
      <c r="F72" s="160" t="s">
        <v>220</v>
      </c>
      <c r="G72" s="188">
        <v>0.077</v>
      </c>
      <c r="H72" s="5"/>
      <c r="I72" s="107"/>
      <c r="J72" s="11"/>
      <c r="K72" s="5"/>
      <c r="L72" s="5"/>
    </row>
    <row r="73" spans="1:12" ht="14.25" hidden="1" outlineLevel="1">
      <c r="A73" s="5"/>
      <c r="B73" s="5"/>
      <c r="C73" s="10"/>
      <c r="D73" s="135"/>
      <c r="E73" s="163"/>
      <c r="F73" s="160" t="s">
        <v>232</v>
      </c>
      <c r="G73" s="188">
        <v>0.077</v>
      </c>
      <c r="H73" s="5"/>
      <c r="I73" s="107"/>
      <c r="J73" s="11"/>
      <c r="K73" s="5"/>
      <c r="L73" s="5"/>
    </row>
    <row r="74" spans="1:12" ht="14.25" hidden="1" outlineLevel="1">
      <c r="A74" s="5"/>
      <c r="B74" s="5"/>
      <c r="C74" s="10"/>
      <c r="D74" s="135"/>
      <c r="E74" s="163"/>
      <c r="F74" s="160" t="s">
        <v>233</v>
      </c>
      <c r="G74" s="188">
        <v>0.045</v>
      </c>
      <c r="H74" s="5"/>
      <c r="I74" s="107"/>
      <c r="J74" s="11"/>
      <c r="K74" s="5"/>
      <c r="L74" s="5"/>
    </row>
    <row r="75" spans="1:12" ht="14.25" hidden="1" outlineLevel="1">
      <c r="A75" s="5"/>
      <c r="B75" s="5"/>
      <c r="C75" s="10"/>
      <c r="D75" s="135"/>
      <c r="E75" s="163"/>
      <c r="F75" s="160" t="s">
        <v>219</v>
      </c>
      <c r="G75" s="188">
        <v>0.03</v>
      </c>
      <c r="H75" s="5"/>
      <c r="I75" s="107"/>
      <c r="J75" s="11"/>
      <c r="K75" s="5"/>
      <c r="L75" s="5"/>
    </row>
    <row r="76" spans="1:12" ht="14.25" hidden="1" outlineLevel="1">
      <c r="A76" s="5"/>
      <c r="B76" s="5"/>
      <c r="C76" s="10"/>
      <c r="D76" s="133" t="s">
        <v>111</v>
      </c>
      <c r="E76" s="180">
        <f>MIN(MAX(INPUT!D158,0),1)</f>
        <v>0.5</v>
      </c>
      <c r="F76" s="5" t="s">
        <v>240</v>
      </c>
      <c r="G76" s="5"/>
      <c r="H76" s="5"/>
      <c r="I76" s="261" t="s">
        <v>348</v>
      </c>
      <c r="J76" s="11"/>
      <c r="K76" s="5"/>
      <c r="L76" s="5"/>
    </row>
    <row r="77" spans="1:12" ht="14.25" hidden="1" outlineLevel="1">
      <c r="A77" s="5"/>
      <c r="B77" s="5"/>
      <c r="C77" s="10"/>
      <c r="D77" s="104"/>
      <c r="E77" s="105"/>
      <c r="F77" s="68"/>
      <c r="G77" s="68"/>
      <c r="H77" s="68"/>
      <c r="I77" s="106"/>
      <c r="J77" s="11"/>
      <c r="K77" s="5"/>
      <c r="L77" s="5"/>
    </row>
    <row r="78" spans="1:12" ht="14.25" hidden="1" outlineLevel="1">
      <c r="A78" s="5"/>
      <c r="B78" s="5"/>
      <c r="C78" s="10"/>
      <c r="D78" s="262" t="s">
        <v>367</v>
      </c>
      <c r="E78" s="72"/>
      <c r="F78" s="5"/>
      <c r="G78" s="5"/>
      <c r="H78" s="5"/>
      <c r="I78" s="12"/>
      <c r="J78" s="11"/>
      <c r="K78" s="5"/>
      <c r="L78" s="5"/>
    </row>
    <row r="79" spans="1:12" ht="14.25" hidden="1" outlineLevel="1">
      <c r="A79" s="5"/>
      <c r="B79" s="5"/>
      <c r="C79" s="10"/>
      <c r="D79" s="5"/>
      <c r="E79" s="5"/>
      <c r="F79" s="5"/>
      <c r="G79" s="5"/>
      <c r="H79" s="5"/>
      <c r="I79" s="5"/>
      <c r="J79" s="11"/>
      <c r="K79" s="5"/>
      <c r="L79" s="5"/>
    </row>
    <row r="80" spans="1:12" ht="15" customHeight="1" collapsed="1">
      <c r="A80" s="5"/>
      <c r="B80" s="5"/>
      <c r="C80" s="355" t="s">
        <v>81</v>
      </c>
      <c r="D80" s="356"/>
      <c r="E80" s="356"/>
      <c r="F80" s="356"/>
      <c r="G80" s="356"/>
      <c r="H80" s="356"/>
      <c r="I80" s="356"/>
      <c r="J80" s="357"/>
      <c r="K80" s="5"/>
      <c r="L80" s="5"/>
    </row>
    <row r="81" spans="1:12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 hidden="1" outlineLevel="1" thickBot="1">
      <c r="A82" s="5"/>
      <c r="B82" s="5"/>
      <c r="C82" s="7"/>
      <c r="D82" s="8"/>
      <c r="E82" s="8"/>
      <c r="F82" s="8"/>
      <c r="G82" s="8"/>
      <c r="H82" s="8"/>
      <c r="I82" s="8"/>
      <c r="J82" s="9"/>
      <c r="K82" s="5"/>
      <c r="L82" s="5"/>
    </row>
    <row r="83" spans="1:12" ht="15" hidden="1" outlineLevel="1" thickBot="1">
      <c r="A83" s="5"/>
      <c r="B83" s="5"/>
      <c r="C83" s="10"/>
      <c r="D83" s="109">
        <f>IF(INPUT!D163="yes",CTR!E88*CTR!E98,0)</f>
        <v>0</v>
      </c>
      <c r="E83" s="5" t="s">
        <v>244</v>
      </c>
      <c r="F83" s="5"/>
      <c r="G83" s="5"/>
      <c r="H83" s="5"/>
      <c r="I83" s="5"/>
      <c r="J83" s="11"/>
      <c r="K83" s="5"/>
      <c r="L83" s="5"/>
    </row>
    <row r="84" spans="1:12" ht="14.25" hidden="1" outlineLevel="1">
      <c r="A84" s="5"/>
      <c r="B84" s="5"/>
      <c r="C84" s="10"/>
      <c r="D84" s="5"/>
      <c r="E84" s="5"/>
      <c r="F84" s="5"/>
      <c r="G84" s="5"/>
      <c r="H84" s="5"/>
      <c r="I84" s="5"/>
      <c r="J84" s="11"/>
      <c r="K84" s="5"/>
      <c r="L84" s="5"/>
    </row>
    <row r="85" spans="1:12" ht="14.25" hidden="1" outlineLevel="1">
      <c r="A85" s="5"/>
      <c r="B85" s="5"/>
      <c r="C85" s="10"/>
      <c r="D85" s="5" t="s">
        <v>102</v>
      </c>
      <c r="E85" s="5"/>
      <c r="F85" s="5"/>
      <c r="G85" s="5"/>
      <c r="H85" s="5"/>
      <c r="I85" s="5"/>
      <c r="J85" s="11"/>
      <c r="K85" s="5"/>
      <c r="L85" s="5"/>
    </row>
    <row r="86" spans="1:12" ht="14.25" hidden="1" outlineLevel="1">
      <c r="A86" s="5"/>
      <c r="B86" s="5"/>
      <c r="C86" s="10"/>
      <c r="D86" s="455" t="s">
        <v>262</v>
      </c>
      <c r="E86" s="456"/>
      <c r="F86" s="456"/>
      <c r="G86" s="456"/>
      <c r="H86" s="456"/>
      <c r="I86" s="457"/>
      <c r="J86" s="11"/>
      <c r="K86" s="5"/>
      <c r="L86" s="5"/>
    </row>
    <row r="87" spans="1:12" ht="14.25" hidden="1" outlineLevel="1">
      <c r="A87" s="5"/>
      <c r="B87" s="5"/>
      <c r="C87" s="10"/>
      <c r="D87" s="102" t="s">
        <v>106</v>
      </c>
      <c r="E87" s="5"/>
      <c r="F87" s="5"/>
      <c r="G87" s="5"/>
      <c r="H87" s="5"/>
      <c r="I87" s="11"/>
      <c r="J87" s="11"/>
      <c r="K87" s="5"/>
      <c r="L87" s="5"/>
    </row>
    <row r="88" spans="1:12" ht="14.25" hidden="1" outlineLevel="1">
      <c r="A88" s="5"/>
      <c r="B88" s="5"/>
      <c r="C88" s="10"/>
      <c r="D88" s="132" t="s">
        <v>110</v>
      </c>
      <c r="E88" s="181">
        <f>VLOOKUP(INPUT!C7,CTR!E92:I96,MATCH(INPUT!D164,CTR!E90:I90,0),FALSE)</f>
        <v>0.037</v>
      </c>
      <c r="F88" s="5" t="s">
        <v>246</v>
      </c>
      <c r="G88" s="5"/>
      <c r="H88" s="5"/>
      <c r="I88" s="107"/>
      <c r="J88" s="11"/>
      <c r="K88" s="5"/>
      <c r="L88" s="5"/>
    </row>
    <row r="89" spans="1:12" ht="14.25" hidden="1" outlineLevel="1">
      <c r="A89" s="5"/>
      <c r="B89" s="5"/>
      <c r="C89" s="10"/>
      <c r="D89" s="132"/>
      <c r="E89" s="193"/>
      <c r="F89" s="475" t="s">
        <v>254</v>
      </c>
      <c r="G89" s="475"/>
      <c r="H89" s="475"/>
      <c r="I89" s="476"/>
      <c r="J89" s="11"/>
      <c r="K89" s="5"/>
      <c r="L89" s="5"/>
    </row>
    <row r="90" spans="1:12" ht="14.25" hidden="1" outlineLevel="1">
      <c r="A90" s="5"/>
      <c r="B90" s="5"/>
      <c r="C90" s="10"/>
      <c r="D90" s="135"/>
      <c r="F90" s="202">
        <v>1</v>
      </c>
      <c r="G90" s="201">
        <v>2</v>
      </c>
      <c r="H90" s="202">
        <v>3</v>
      </c>
      <c r="I90" s="202">
        <v>6</v>
      </c>
      <c r="J90" s="11"/>
      <c r="K90" s="5"/>
      <c r="L90" s="5"/>
    </row>
    <row r="91" spans="1:12" ht="14.25" hidden="1" outlineLevel="1">
      <c r="A91" s="5"/>
      <c r="B91" s="5"/>
      <c r="C91" s="10"/>
      <c r="D91" s="135"/>
      <c r="E91" s="194" t="s">
        <v>248</v>
      </c>
      <c r="F91" s="477" t="s">
        <v>249</v>
      </c>
      <c r="G91" s="478"/>
      <c r="H91" s="478"/>
      <c r="I91" s="479"/>
      <c r="J91" s="11"/>
      <c r="K91" s="5"/>
      <c r="L91" s="5"/>
    </row>
    <row r="92" spans="1:12" ht="14.25" hidden="1" outlineLevel="1">
      <c r="A92" s="5"/>
      <c r="B92" s="5"/>
      <c r="C92" s="10"/>
      <c r="D92" s="135"/>
      <c r="E92" s="164" t="s">
        <v>221</v>
      </c>
      <c r="F92" s="188">
        <v>0.069</v>
      </c>
      <c r="G92" s="188">
        <v>0.125</v>
      </c>
      <c r="H92" s="188">
        <v>0.168</v>
      </c>
      <c r="I92" s="188">
        <v>0.197</v>
      </c>
      <c r="J92" s="11"/>
      <c r="K92" s="5"/>
      <c r="L92" s="5"/>
    </row>
    <row r="93" spans="1:12" ht="14.25" hidden="1" outlineLevel="1">
      <c r="A93" s="5"/>
      <c r="B93" s="5"/>
      <c r="C93" s="10"/>
      <c r="D93" s="135"/>
      <c r="E93" s="160" t="s">
        <v>220</v>
      </c>
      <c r="F93" s="188">
        <v>0.069</v>
      </c>
      <c r="G93" s="188">
        <v>0.125</v>
      </c>
      <c r="H93" s="188">
        <v>0.168</v>
      </c>
      <c r="I93" s="188">
        <v>0.197</v>
      </c>
      <c r="J93" s="11"/>
      <c r="K93" s="5"/>
      <c r="L93" s="5"/>
    </row>
    <row r="94" spans="1:12" ht="14.25" hidden="1" outlineLevel="1">
      <c r="A94" s="5"/>
      <c r="B94" s="5"/>
      <c r="C94" s="10"/>
      <c r="D94" s="135"/>
      <c r="E94" s="160" t="s">
        <v>232</v>
      </c>
      <c r="F94" s="188">
        <v>0.069</v>
      </c>
      <c r="G94" s="188">
        <v>0.125</v>
      </c>
      <c r="H94" s="188">
        <v>0.168</v>
      </c>
      <c r="I94" s="188">
        <v>0.197</v>
      </c>
      <c r="J94" s="11"/>
      <c r="K94" s="5"/>
      <c r="L94" s="5"/>
    </row>
    <row r="95" spans="1:12" ht="14.25" hidden="1" outlineLevel="1">
      <c r="A95" s="5"/>
      <c r="B95" s="5"/>
      <c r="C95" s="10"/>
      <c r="D95" s="135"/>
      <c r="E95" s="160" t="s">
        <v>233</v>
      </c>
      <c r="F95" s="188">
        <v>0.018</v>
      </c>
      <c r="G95" s="188">
        <v>0.037</v>
      </c>
      <c r="H95" s="188">
        <v>0.054</v>
      </c>
      <c r="I95" s="188">
        <v>0.068</v>
      </c>
      <c r="J95" s="11"/>
      <c r="K95" s="5"/>
      <c r="L95" s="5"/>
    </row>
    <row r="96" spans="1:12" ht="14.25" hidden="1" outlineLevel="1">
      <c r="A96" s="5"/>
      <c r="B96" s="5"/>
      <c r="C96" s="10"/>
      <c r="D96" s="135"/>
      <c r="E96" s="160" t="s">
        <v>219</v>
      </c>
      <c r="F96" s="188">
        <v>0.005</v>
      </c>
      <c r="G96" s="188">
        <v>0.012</v>
      </c>
      <c r="H96" s="188">
        <v>0.019</v>
      </c>
      <c r="I96" s="188">
        <v>0.028</v>
      </c>
      <c r="J96" s="11"/>
      <c r="K96" s="5"/>
      <c r="L96" s="5"/>
    </row>
    <row r="97" spans="1:12" ht="14.25" hidden="1" outlineLevel="1">
      <c r="A97" s="5"/>
      <c r="B97" s="5"/>
      <c r="C97" s="10"/>
      <c r="D97" s="135"/>
      <c r="E97" s="5"/>
      <c r="F97" s="5"/>
      <c r="G97" s="5"/>
      <c r="H97" s="5"/>
      <c r="I97" s="107"/>
      <c r="J97" s="11"/>
      <c r="K97" s="5"/>
      <c r="L97" s="5"/>
    </row>
    <row r="98" spans="1:12" ht="14.25" hidden="1" outlineLevel="1">
      <c r="A98" s="5"/>
      <c r="B98" s="5"/>
      <c r="C98" s="10"/>
      <c r="D98" s="133" t="s">
        <v>111</v>
      </c>
      <c r="E98" s="180">
        <f>MIN(MAX(INPUT!D165,0),1)</f>
        <v>1</v>
      </c>
      <c r="F98" s="5" t="s">
        <v>253</v>
      </c>
      <c r="G98" s="5"/>
      <c r="H98" s="5"/>
      <c r="I98" s="261" t="s">
        <v>348</v>
      </c>
      <c r="J98" s="11"/>
      <c r="K98" s="5"/>
      <c r="L98" s="5"/>
    </row>
    <row r="99" spans="1:12" ht="14.25" hidden="1" outlineLevel="1">
      <c r="A99" s="5"/>
      <c r="B99" s="5"/>
      <c r="C99" s="10"/>
      <c r="D99" s="104"/>
      <c r="E99" s="105"/>
      <c r="F99" s="68"/>
      <c r="G99" s="68"/>
      <c r="H99" s="68"/>
      <c r="I99" s="106"/>
      <c r="J99" s="11"/>
      <c r="K99" s="5"/>
      <c r="L99" s="5"/>
    </row>
    <row r="100" spans="1:12" ht="14.25" hidden="1" outlineLevel="1">
      <c r="A100" s="5"/>
      <c r="B100" s="5"/>
      <c r="C100" s="10"/>
      <c r="D100" s="262" t="s">
        <v>368</v>
      </c>
      <c r="E100" s="72"/>
      <c r="F100" s="5"/>
      <c r="G100" s="5"/>
      <c r="H100" s="5"/>
      <c r="I100" s="12"/>
      <c r="J100" s="11"/>
      <c r="K100" s="5"/>
      <c r="L100" s="5"/>
    </row>
    <row r="101" spans="1:12" ht="14.25" hidden="1" outlineLevel="1">
      <c r="A101" s="5"/>
      <c r="B101" s="5"/>
      <c r="C101" s="10"/>
      <c r="D101" s="5"/>
      <c r="E101" s="5"/>
      <c r="F101" s="5"/>
      <c r="G101" s="5"/>
      <c r="H101" s="5"/>
      <c r="I101" s="5"/>
      <c r="J101" s="11"/>
      <c r="K101" s="5"/>
      <c r="L101" s="5"/>
    </row>
    <row r="102" spans="1:12" ht="15" customHeight="1" collapsed="1">
      <c r="A102" s="5"/>
      <c r="B102" s="5"/>
      <c r="C102" s="355" t="s">
        <v>84</v>
      </c>
      <c r="D102" s="356"/>
      <c r="E102" s="356"/>
      <c r="F102" s="356"/>
      <c r="G102" s="356"/>
      <c r="H102" s="356"/>
      <c r="I102" s="356"/>
      <c r="J102" s="357"/>
      <c r="K102" s="5"/>
      <c r="L102" s="5"/>
    </row>
    <row r="103" spans="1:12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" hidden="1" outlineLevel="1" thickBot="1">
      <c r="A104" s="5"/>
      <c r="B104" s="5"/>
      <c r="C104" s="7"/>
      <c r="D104" s="8"/>
      <c r="E104" s="8"/>
      <c r="F104" s="8"/>
      <c r="G104" s="8"/>
      <c r="H104" s="8"/>
      <c r="I104" s="8"/>
      <c r="J104" s="9"/>
      <c r="K104" s="5"/>
      <c r="L104" s="5"/>
    </row>
    <row r="105" spans="1:12" ht="15" hidden="1" outlineLevel="1" thickBot="1">
      <c r="A105" s="5"/>
      <c r="B105" s="5"/>
      <c r="C105" s="10"/>
      <c r="D105" s="109">
        <f>IF(INPUT!D170="yes",E110,0)</f>
        <v>0</v>
      </c>
      <c r="E105" s="5" t="s">
        <v>244</v>
      </c>
      <c r="F105" s="5"/>
      <c r="G105" s="5"/>
      <c r="H105" s="5"/>
      <c r="I105" s="5"/>
      <c r="J105" s="11"/>
      <c r="K105" s="5"/>
      <c r="L105" s="5"/>
    </row>
    <row r="106" spans="1:12" ht="14.25" hidden="1" outlineLevel="1">
      <c r="A106" s="5"/>
      <c r="B106" s="5"/>
      <c r="C106" s="10"/>
      <c r="D106" s="5"/>
      <c r="E106" s="5"/>
      <c r="F106" s="5"/>
      <c r="G106" s="5"/>
      <c r="H106" s="5"/>
      <c r="I106" s="5"/>
      <c r="J106" s="11"/>
      <c r="K106" s="5"/>
      <c r="L106" s="5"/>
    </row>
    <row r="107" spans="1:12" ht="14.25" hidden="1" outlineLevel="1">
      <c r="A107" s="5"/>
      <c r="B107" s="5"/>
      <c r="C107" s="10"/>
      <c r="D107" s="5" t="s">
        <v>102</v>
      </c>
      <c r="E107" s="5"/>
      <c r="F107" s="5"/>
      <c r="G107" s="5"/>
      <c r="H107" s="5"/>
      <c r="I107" s="5"/>
      <c r="J107" s="11"/>
      <c r="K107" s="5"/>
      <c r="L107" s="5"/>
    </row>
    <row r="108" spans="1:12" ht="14.25" hidden="1" outlineLevel="1">
      <c r="A108" s="5"/>
      <c r="B108" s="5"/>
      <c r="C108" s="10"/>
      <c r="D108" s="455" t="s">
        <v>263</v>
      </c>
      <c r="E108" s="456"/>
      <c r="F108" s="456"/>
      <c r="G108" s="456"/>
      <c r="H108" s="456"/>
      <c r="I108" s="457"/>
      <c r="J108" s="11"/>
      <c r="K108" s="5"/>
      <c r="L108" s="5"/>
    </row>
    <row r="109" spans="1:12" ht="14.25" hidden="1" outlineLevel="1">
      <c r="A109" s="5"/>
      <c r="B109" s="5"/>
      <c r="C109" s="10"/>
      <c r="D109" s="102" t="s">
        <v>106</v>
      </c>
      <c r="E109" s="5"/>
      <c r="F109" s="5"/>
      <c r="G109" s="5"/>
      <c r="H109" s="5"/>
      <c r="I109" s="11"/>
      <c r="J109" s="11"/>
      <c r="K109" s="5"/>
      <c r="L109" s="5"/>
    </row>
    <row r="110" spans="1:12" ht="14.25" hidden="1" outlineLevel="1">
      <c r="A110" s="5"/>
      <c r="B110" s="5"/>
      <c r="C110" s="10"/>
      <c r="D110" s="132" t="s">
        <v>110</v>
      </c>
      <c r="E110" s="211">
        <f>VLOOKUP(INPUT!D171,CTR!E114:H118,MATCH(INPUT!D172,CTR!E112:H112,0),TRUE)</f>
        <v>0.0035</v>
      </c>
      <c r="F110" s="5" t="s">
        <v>246</v>
      </c>
      <c r="G110" s="5"/>
      <c r="H110" s="5"/>
      <c r="I110" s="107"/>
      <c r="J110" s="11"/>
      <c r="K110" s="5"/>
      <c r="L110" s="5"/>
    </row>
    <row r="111" spans="1:12" ht="14.25" hidden="1" outlineLevel="1">
      <c r="A111" s="5"/>
      <c r="B111" s="5"/>
      <c r="C111" s="10"/>
      <c r="D111" s="132"/>
      <c r="E111" s="193"/>
      <c r="F111" s="480" t="s">
        <v>264</v>
      </c>
      <c r="G111" s="480"/>
      <c r="H111" s="480"/>
      <c r="I111" s="107"/>
      <c r="J111" s="11"/>
      <c r="K111" s="5"/>
      <c r="L111" s="5"/>
    </row>
    <row r="112" spans="1:12" ht="28.5" hidden="1" outlineLevel="1">
      <c r="A112" s="5"/>
      <c r="B112" s="5"/>
      <c r="C112" s="10"/>
      <c r="D112" s="135"/>
      <c r="F112" s="207" t="s">
        <v>256</v>
      </c>
      <c r="G112" s="207" t="s">
        <v>257</v>
      </c>
      <c r="H112" s="207" t="s">
        <v>258</v>
      </c>
      <c r="I112" s="107"/>
      <c r="J112" s="11"/>
      <c r="K112" s="5"/>
      <c r="L112" s="5"/>
    </row>
    <row r="113" spans="1:12" ht="14.25" hidden="1" outlineLevel="1">
      <c r="A113" s="5"/>
      <c r="B113" s="5"/>
      <c r="C113" s="10"/>
      <c r="D113" s="135"/>
      <c r="E113" s="194" t="s">
        <v>264</v>
      </c>
      <c r="F113" s="477" t="s">
        <v>249</v>
      </c>
      <c r="G113" s="478"/>
      <c r="H113" s="479"/>
      <c r="I113" s="107"/>
      <c r="J113" s="11"/>
      <c r="K113" s="5"/>
      <c r="L113" s="5"/>
    </row>
    <row r="114" spans="1:12" ht="14.25" hidden="1" outlineLevel="1">
      <c r="A114" s="5"/>
      <c r="B114" s="5"/>
      <c r="C114" s="10"/>
      <c r="D114" s="135"/>
      <c r="E114" s="208">
        <v>0.01</v>
      </c>
      <c r="F114" s="210">
        <v>0.0007</v>
      </c>
      <c r="G114" s="210">
        <v>0.0015</v>
      </c>
      <c r="H114" s="210">
        <v>0.0022</v>
      </c>
      <c r="I114" s="107"/>
      <c r="J114" s="11"/>
      <c r="K114" s="5"/>
      <c r="L114" s="5"/>
    </row>
    <row r="115" spans="1:12" ht="14.25" hidden="1" outlineLevel="1">
      <c r="A115" s="5"/>
      <c r="B115" s="5"/>
      <c r="C115" s="10"/>
      <c r="D115" s="135"/>
      <c r="E115" s="209">
        <v>0.03</v>
      </c>
      <c r="F115" s="210">
        <v>0.0021</v>
      </c>
      <c r="G115" s="210">
        <v>0.0045</v>
      </c>
      <c r="H115" s="210">
        <v>0.0066</v>
      </c>
      <c r="I115" s="107"/>
      <c r="J115" s="11"/>
      <c r="K115" s="5"/>
      <c r="L115" s="5"/>
    </row>
    <row r="116" spans="1:12" ht="14.25" hidden="1" outlineLevel="1">
      <c r="A116" s="5"/>
      <c r="B116" s="5"/>
      <c r="C116" s="10"/>
      <c r="D116" s="135"/>
      <c r="E116" s="209">
        <v>0.05</v>
      </c>
      <c r="F116" s="210">
        <v>0.0035</v>
      </c>
      <c r="G116" s="210">
        <v>0.0075</v>
      </c>
      <c r="H116" s="210">
        <v>0.011</v>
      </c>
      <c r="I116" s="107"/>
      <c r="J116" s="11"/>
      <c r="K116" s="5"/>
      <c r="L116" s="5"/>
    </row>
    <row r="117" spans="1:12" ht="14.25" hidden="1" outlineLevel="1">
      <c r="A117" s="5"/>
      <c r="B117" s="5"/>
      <c r="C117" s="10"/>
      <c r="D117" s="135"/>
      <c r="E117" s="209">
        <v>0.1</v>
      </c>
      <c r="F117" s="210">
        <v>0.007</v>
      </c>
      <c r="G117" s="210">
        <v>0.015</v>
      </c>
      <c r="H117" s="210">
        <v>0.022</v>
      </c>
      <c r="I117" s="107"/>
      <c r="J117" s="11"/>
      <c r="K117" s="5"/>
      <c r="L117" s="5"/>
    </row>
    <row r="118" spans="1:12" ht="14.25" hidden="1" outlineLevel="1">
      <c r="A118" s="5"/>
      <c r="B118" s="5"/>
      <c r="C118" s="10"/>
      <c r="D118" s="135"/>
      <c r="E118" s="209">
        <v>0.25</v>
      </c>
      <c r="F118" s="210">
        <v>0.0175</v>
      </c>
      <c r="G118" s="210">
        <v>0.0375</v>
      </c>
      <c r="H118" s="210">
        <v>0.055</v>
      </c>
      <c r="I118" s="107"/>
      <c r="J118" s="11"/>
      <c r="K118" s="5"/>
      <c r="L118" s="5"/>
    </row>
    <row r="119" spans="1:12" ht="14.25" hidden="1" outlineLevel="1">
      <c r="A119" s="5"/>
      <c r="B119" s="5"/>
      <c r="C119" s="10"/>
      <c r="D119" s="104"/>
      <c r="E119" s="105"/>
      <c r="F119" s="68"/>
      <c r="G119" s="68"/>
      <c r="H119" s="68"/>
      <c r="I119" s="106"/>
      <c r="J119" s="11"/>
      <c r="K119" s="5"/>
      <c r="L119" s="5"/>
    </row>
    <row r="120" spans="1:12" ht="14.25" hidden="1" outlineLevel="1">
      <c r="A120" s="5"/>
      <c r="B120" s="5"/>
      <c r="C120" s="10"/>
      <c r="D120" s="262" t="s">
        <v>369</v>
      </c>
      <c r="E120" s="72"/>
      <c r="F120" s="5"/>
      <c r="G120" s="5"/>
      <c r="H120" s="5"/>
      <c r="I120" s="12"/>
      <c r="J120" s="11"/>
      <c r="K120" s="5"/>
      <c r="L120" s="5"/>
    </row>
    <row r="121" spans="1:12" ht="14.25" hidden="1" outlineLevel="1">
      <c r="A121" s="5"/>
      <c r="B121" s="5"/>
      <c r="C121" s="10"/>
      <c r="D121" s="5"/>
      <c r="E121" s="5"/>
      <c r="F121" s="5"/>
      <c r="G121" s="5"/>
      <c r="H121" s="5"/>
      <c r="I121" s="5"/>
      <c r="J121" s="11"/>
      <c r="K121" s="5"/>
      <c r="L121" s="5"/>
    </row>
    <row r="122" spans="1:12" ht="15" customHeight="1" collapsed="1">
      <c r="A122" s="5"/>
      <c r="B122" s="5"/>
      <c r="C122" s="355" t="s">
        <v>85</v>
      </c>
      <c r="D122" s="356"/>
      <c r="E122" s="356"/>
      <c r="F122" s="356"/>
      <c r="G122" s="356"/>
      <c r="H122" s="356"/>
      <c r="I122" s="356"/>
      <c r="J122" s="357"/>
      <c r="K122" s="5"/>
      <c r="L122" s="5"/>
    </row>
    <row r="123" spans="1:12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" hidden="1" outlineLevel="1" thickBot="1">
      <c r="A124" s="5"/>
      <c r="B124" s="5"/>
      <c r="C124" s="7"/>
      <c r="D124" s="8"/>
      <c r="E124" s="8"/>
      <c r="F124" s="8"/>
      <c r="G124" s="8"/>
      <c r="H124" s="8"/>
      <c r="I124" s="8"/>
      <c r="J124" s="9"/>
      <c r="K124" s="5"/>
      <c r="L124" s="5"/>
    </row>
    <row r="125" spans="1:12" ht="15" hidden="1" outlineLevel="1" thickBot="1">
      <c r="A125" s="5"/>
      <c r="B125" s="5"/>
      <c r="C125" s="10"/>
      <c r="D125" s="109">
        <f>IF(INPUT!D177="yes",E130*E131*E132,0)</f>
        <v>0</v>
      </c>
      <c r="E125" s="5" t="s">
        <v>244</v>
      </c>
      <c r="F125" s="5"/>
      <c r="G125" s="5"/>
      <c r="H125" s="5"/>
      <c r="I125" s="5"/>
      <c r="J125" s="11"/>
      <c r="K125" s="5"/>
      <c r="L125" s="5"/>
    </row>
    <row r="126" spans="1:12" ht="14.25" hidden="1" outlineLevel="1">
      <c r="A126" s="5"/>
      <c r="B126" s="5"/>
      <c r="C126" s="10"/>
      <c r="D126" s="5"/>
      <c r="E126" s="5"/>
      <c r="F126" s="5"/>
      <c r="G126" s="5"/>
      <c r="H126" s="5"/>
      <c r="I126" s="5"/>
      <c r="J126" s="11"/>
      <c r="K126" s="5"/>
      <c r="L126" s="5"/>
    </row>
    <row r="127" spans="1:12" ht="14.25" hidden="1" outlineLevel="1">
      <c r="A127" s="5"/>
      <c r="B127" s="5"/>
      <c r="C127" s="10"/>
      <c r="D127" s="5" t="s">
        <v>102</v>
      </c>
      <c r="E127" s="5"/>
      <c r="F127" s="5"/>
      <c r="G127" s="5"/>
      <c r="H127" s="5"/>
      <c r="I127" s="5"/>
      <c r="J127" s="11"/>
      <c r="K127" s="5"/>
      <c r="L127" s="5"/>
    </row>
    <row r="128" spans="1:12" ht="29.25" customHeight="1" hidden="1" outlineLevel="1">
      <c r="A128" s="5"/>
      <c r="B128" s="5"/>
      <c r="C128" s="10"/>
      <c r="D128" s="455" t="s">
        <v>265</v>
      </c>
      <c r="E128" s="456"/>
      <c r="F128" s="456"/>
      <c r="G128" s="456"/>
      <c r="H128" s="456"/>
      <c r="I128" s="457"/>
      <c r="J128" s="11"/>
      <c r="K128" s="5"/>
      <c r="L128" s="5"/>
    </row>
    <row r="129" spans="1:12" ht="14.25" hidden="1" outlineLevel="1">
      <c r="A129" s="5"/>
      <c r="B129" s="5"/>
      <c r="C129" s="10"/>
      <c r="D129" s="102" t="s">
        <v>106</v>
      </c>
      <c r="E129" s="5"/>
      <c r="F129" s="5"/>
      <c r="G129" s="5"/>
      <c r="H129" s="5"/>
      <c r="I129" s="11"/>
      <c r="J129" s="11"/>
      <c r="K129" s="5"/>
      <c r="L129" s="5"/>
    </row>
    <row r="130" spans="1:12" ht="14.25" hidden="1" outlineLevel="1">
      <c r="A130" s="5"/>
      <c r="B130" s="5"/>
      <c r="C130" s="10"/>
      <c r="D130" s="132" t="s">
        <v>110</v>
      </c>
      <c r="E130" s="212">
        <v>0.04</v>
      </c>
      <c r="F130" s="5" t="s">
        <v>246</v>
      </c>
      <c r="G130" s="5"/>
      <c r="H130" s="5"/>
      <c r="I130" s="107"/>
      <c r="J130" s="11"/>
      <c r="K130" s="5"/>
      <c r="L130" s="5"/>
    </row>
    <row r="131" spans="1:12" ht="14.25" hidden="1" outlineLevel="1">
      <c r="A131" s="5"/>
      <c r="B131" s="5"/>
      <c r="C131" s="10"/>
      <c r="D131" s="133" t="s">
        <v>111</v>
      </c>
      <c r="E131" s="180">
        <f>MIN(MAX(INPUT!D178,0),1)</f>
        <v>1</v>
      </c>
      <c r="F131" s="5" t="s">
        <v>240</v>
      </c>
      <c r="G131" s="5"/>
      <c r="H131" s="5"/>
      <c r="I131" s="261" t="s">
        <v>348</v>
      </c>
      <c r="J131" s="11"/>
      <c r="K131" s="5"/>
      <c r="L131" s="5"/>
    </row>
    <row r="132" spans="1:12" ht="14.25" hidden="1" outlineLevel="1">
      <c r="A132" s="5"/>
      <c r="B132" s="5"/>
      <c r="C132" s="10"/>
      <c r="D132" s="135" t="s">
        <v>112</v>
      </c>
      <c r="E132" s="195">
        <f>Assumptions!D164</f>
        <v>1</v>
      </c>
      <c r="F132" s="5" t="s">
        <v>247</v>
      </c>
      <c r="G132" s="5"/>
      <c r="H132" s="5"/>
      <c r="I132" s="261" t="s">
        <v>347</v>
      </c>
      <c r="J132" s="11"/>
      <c r="K132" s="5"/>
      <c r="L132" s="5"/>
    </row>
    <row r="133" spans="1:12" ht="14.25" hidden="1" outlineLevel="1">
      <c r="A133" s="5"/>
      <c r="B133" s="5"/>
      <c r="C133" s="10"/>
      <c r="D133" s="104"/>
      <c r="E133" s="105"/>
      <c r="F133" s="68"/>
      <c r="G133" s="68"/>
      <c r="H133" s="68"/>
      <c r="I133" s="106"/>
      <c r="J133" s="11"/>
      <c r="K133" s="5"/>
      <c r="L133" s="5"/>
    </row>
    <row r="134" spans="1:12" ht="14.25" hidden="1" outlineLevel="1">
      <c r="A134" s="5"/>
      <c r="B134" s="5"/>
      <c r="C134" s="10"/>
      <c r="D134" s="262" t="s">
        <v>370</v>
      </c>
      <c r="E134" s="72"/>
      <c r="F134" s="5"/>
      <c r="G134" s="5"/>
      <c r="H134" s="5"/>
      <c r="I134" s="12"/>
      <c r="J134" s="11"/>
      <c r="K134" s="5"/>
      <c r="L134" s="5"/>
    </row>
    <row r="135" spans="1:12" ht="14.25" hidden="1" outlineLevel="1">
      <c r="A135" s="5"/>
      <c r="B135" s="5"/>
      <c r="C135" s="10"/>
      <c r="D135" s="5"/>
      <c r="E135" s="5"/>
      <c r="F135" s="5"/>
      <c r="G135" s="5"/>
      <c r="H135" s="5"/>
      <c r="I135" s="5"/>
      <c r="J135" s="11"/>
      <c r="K135" s="5"/>
      <c r="L135" s="5"/>
    </row>
    <row r="136" spans="1:12" ht="14.25" collapsed="1">
      <c r="A136" s="5"/>
      <c r="B136" s="5"/>
      <c r="C136" s="355" t="s">
        <v>86</v>
      </c>
      <c r="D136" s="356"/>
      <c r="E136" s="356"/>
      <c r="F136" s="356"/>
      <c r="G136" s="356"/>
      <c r="H136" s="356"/>
      <c r="I136" s="356"/>
      <c r="J136" s="357"/>
      <c r="K136" s="5"/>
      <c r="L136" s="5"/>
    </row>
    <row r="137" spans="1:12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5" hidden="1" outlineLevel="1" thickBot="1">
      <c r="A138" s="5"/>
      <c r="B138" s="5"/>
      <c r="C138" s="7"/>
      <c r="D138" s="8"/>
      <c r="E138" s="8"/>
      <c r="F138" s="8"/>
      <c r="G138" s="8"/>
      <c r="H138" s="8"/>
      <c r="I138" s="8"/>
      <c r="J138" s="9"/>
      <c r="K138" s="5"/>
      <c r="L138" s="5"/>
    </row>
    <row r="139" spans="1:12" ht="15" hidden="1" outlineLevel="1" thickBot="1">
      <c r="A139" s="5"/>
      <c r="B139" s="5"/>
      <c r="C139" s="10"/>
      <c r="D139" s="109">
        <f>IF(INPUT!D183="yes",CTR!E144*CTR!E151*CTR!E152,0)</f>
        <v>0</v>
      </c>
      <c r="E139" s="5" t="s">
        <v>244</v>
      </c>
      <c r="F139" s="5"/>
      <c r="G139" s="5"/>
      <c r="H139" s="5"/>
      <c r="I139" s="5"/>
      <c r="J139" s="11"/>
      <c r="K139" s="5"/>
      <c r="L139" s="5"/>
    </row>
    <row r="140" spans="1:12" ht="14.25" hidden="1" outlineLevel="1">
      <c r="A140" s="5"/>
      <c r="B140" s="5"/>
      <c r="C140" s="10"/>
      <c r="D140" s="5"/>
      <c r="E140" s="5"/>
      <c r="F140" s="5"/>
      <c r="G140" s="5"/>
      <c r="H140" s="5"/>
      <c r="I140" s="5"/>
      <c r="J140" s="11"/>
      <c r="K140" s="5"/>
      <c r="L140" s="5"/>
    </row>
    <row r="141" spans="1:12" ht="14.25" hidden="1" outlineLevel="1">
      <c r="A141" s="5"/>
      <c r="B141" s="5"/>
      <c r="C141" s="10"/>
      <c r="D141" s="5" t="s">
        <v>102</v>
      </c>
      <c r="E141" s="5"/>
      <c r="F141" s="5"/>
      <c r="G141" s="5"/>
      <c r="H141" s="5"/>
      <c r="I141" s="5"/>
      <c r="J141" s="11"/>
      <c r="K141" s="5"/>
      <c r="L141" s="5"/>
    </row>
    <row r="142" spans="1:12" ht="30.75" customHeight="1" hidden="1" outlineLevel="1">
      <c r="A142" s="5"/>
      <c r="B142" s="5"/>
      <c r="C142" s="10"/>
      <c r="D142" s="455" t="s">
        <v>268</v>
      </c>
      <c r="E142" s="456"/>
      <c r="F142" s="456"/>
      <c r="G142" s="456"/>
      <c r="H142" s="456"/>
      <c r="I142" s="457"/>
      <c r="J142" s="11"/>
      <c r="K142" s="5"/>
      <c r="L142" s="5"/>
    </row>
    <row r="143" spans="1:12" ht="14.25" hidden="1" outlineLevel="1">
      <c r="A143" s="5"/>
      <c r="B143" s="5"/>
      <c r="C143" s="10"/>
      <c r="D143" s="102" t="s">
        <v>106</v>
      </c>
      <c r="E143" s="5"/>
      <c r="F143" s="5"/>
      <c r="G143" s="5"/>
      <c r="H143" s="5"/>
      <c r="I143" s="11"/>
      <c r="J143" s="11"/>
      <c r="K143" s="5"/>
      <c r="L143" s="5"/>
    </row>
    <row r="144" spans="1:12" ht="14.25" hidden="1" outlineLevel="1">
      <c r="A144" s="5"/>
      <c r="B144" s="5"/>
      <c r="C144" s="10"/>
      <c r="D144" s="132" t="s">
        <v>110</v>
      </c>
      <c r="E144" s="165">
        <f>VLOOKUP(INPUT!D186,CTR!E148:H150,MATCH(INPUT!D184,CTR!E146:H146,0),FALSE)</f>
        <v>0.11</v>
      </c>
      <c r="F144" s="5" t="s">
        <v>269</v>
      </c>
      <c r="G144" s="5"/>
      <c r="H144" s="5"/>
      <c r="I144" s="107"/>
      <c r="J144" s="11"/>
      <c r="K144" s="5"/>
      <c r="L144" s="5"/>
    </row>
    <row r="145" spans="1:12" ht="14.25" hidden="1" outlineLevel="1">
      <c r="A145" s="5"/>
      <c r="B145" s="5"/>
      <c r="C145" s="10"/>
      <c r="D145" s="132"/>
      <c r="E145" s="193"/>
      <c r="F145" s="480" t="s">
        <v>270</v>
      </c>
      <c r="G145" s="480"/>
      <c r="H145" s="480"/>
      <c r="I145" s="107"/>
      <c r="J145" s="11"/>
      <c r="K145" s="5"/>
      <c r="L145" s="5"/>
    </row>
    <row r="146" spans="1:12" ht="14.25" hidden="1" outlineLevel="1">
      <c r="A146" s="5"/>
      <c r="B146" s="5"/>
      <c r="C146" s="10"/>
      <c r="D146" s="135"/>
      <c r="F146" s="205" t="s">
        <v>273</v>
      </c>
      <c r="G146" s="205" t="s">
        <v>274</v>
      </c>
      <c r="H146" s="205" t="s">
        <v>275</v>
      </c>
      <c r="I146" s="107"/>
      <c r="J146" s="11"/>
      <c r="K146" s="5"/>
      <c r="L146" s="5"/>
    </row>
    <row r="147" spans="1:12" ht="14.25" hidden="1" outlineLevel="1">
      <c r="A147" s="5"/>
      <c r="B147" s="5"/>
      <c r="C147" s="10"/>
      <c r="D147" s="135"/>
      <c r="E147" s="194" t="s">
        <v>271</v>
      </c>
      <c r="F147" s="477" t="s">
        <v>272</v>
      </c>
      <c r="G147" s="478"/>
      <c r="H147" s="479"/>
      <c r="I147" s="107"/>
      <c r="J147" s="11"/>
      <c r="K147" s="5"/>
      <c r="L147" s="5"/>
    </row>
    <row r="148" spans="1:12" ht="14.25" hidden="1" outlineLevel="1">
      <c r="A148" s="5"/>
      <c r="B148" s="5"/>
      <c r="C148" s="10"/>
      <c r="D148" s="135"/>
      <c r="E148" s="213" t="s">
        <v>276</v>
      </c>
      <c r="F148" s="203">
        <v>0.02</v>
      </c>
      <c r="G148" s="203">
        <v>0.05</v>
      </c>
      <c r="H148" s="203">
        <v>0.1</v>
      </c>
      <c r="I148" s="107"/>
      <c r="J148" s="11"/>
      <c r="K148" s="5"/>
      <c r="L148" s="5"/>
    </row>
    <row r="149" spans="1:12" ht="14.25" hidden="1" outlineLevel="1">
      <c r="A149" s="5"/>
      <c r="B149" s="5"/>
      <c r="C149" s="10"/>
      <c r="D149" s="135"/>
      <c r="E149" s="214" t="s">
        <v>274</v>
      </c>
      <c r="F149" s="203">
        <v>0.05</v>
      </c>
      <c r="G149" s="203">
        <v>0.11</v>
      </c>
      <c r="H149" s="203">
        <v>0.15</v>
      </c>
      <c r="I149" s="107"/>
      <c r="J149" s="11"/>
      <c r="K149" s="5"/>
      <c r="L149" s="5"/>
    </row>
    <row r="150" spans="1:12" ht="14.25" hidden="1" outlineLevel="1">
      <c r="A150" s="5"/>
      <c r="B150" s="5"/>
      <c r="C150" s="10"/>
      <c r="D150" s="135"/>
      <c r="E150" s="214" t="s">
        <v>277</v>
      </c>
      <c r="F150" s="203">
        <v>0.1</v>
      </c>
      <c r="G150" s="203">
        <v>0.15</v>
      </c>
      <c r="H150" s="203">
        <v>0.2</v>
      </c>
      <c r="I150" s="107"/>
      <c r="J150" s="11"/>
      <c r="K150" s="5"/>
      <c r="L150" s="5"/>
    </row>
    <row r="151" spans="1:12" ht="14.25" hidden="1" outlineLevel="1">
      <c r="A151" s="5"/>
      <c r="B151" s="5"/>
      <c r="C151" s="10"/>
      <c r="D151" s="133" t="s">
        <v>111</v>
      </c>
      <c r="E151" s="215">
        <f>MIN(MAX(INPUT!D188,0),1)</f>
        <v>0.5</v>
      </c>
      <c r="F151" s="5" t="s">
        <v>240</v>
      </c>
      <c r="G151" s="5"/>
      <c r="H151" s="5"/>
      <c r="I151" s="261" t="s">
        <v>348</v>
      </c>
      <c r="J151" s="11"/>
      <c r="K151" s="5"/>
      <c r="L151" s="5"/>
    </row>
    <row r="152" spans="1:12" ht="14.25" hidden="1" outlineLevel="1">
      <c r="A152" s="5"/>
      <c r="B152" s="5"/>
      <c r="C152" s="10"/>
      <c r="D152" s="135" t="s">
        <v>112</v>
      </c>
      <c r="E152" s="110">
        <f>Assumptions!D170</f>
        <v>0.6944444444444444</v>
      </c>
      <c r="F152" s="5" t="s">
        <v>278</v>
      </c>
      <c r="G152" s="5"/>
      <c r="H152" s="5"/>
      <c r="I152" s="261" t="s">
        <v>347</v>
      </c>
      <c r="J152" s="11"/>
      <c r="K152" s="5"/>
      <c r="L152" s="5"/>
    </row>
    <row r="153" spans="1:12" ht="14.25" hidden="1" outlineLevel="1">
      <c r="A153" s="5"/>
      <c r="B153" s="5"/>
      <c r="C153" s="10"/>
      <c r="D153" s="104"/>
      <c r="E153" s="105"/>
      <c r="F153" s="68"/>
      <c r="G153" s="68"/>
      <c r="H153" s="68"/>
      <c r="I153" s="106"/>
      <c r="J153" s="11"/>
      <c r="K153" s="5"/>
      <c r="L153" s="5"/>
    </row>
    <row r="154" spans="1:12" ht="14.25" hidden="1" outlineLevel="1">
      <c r="A154" s="5"/>
      <c r="B154" s="5"/>
      <c r="C154" s="10"/>
      <c r="D154" s="262" t="s">
        <v>371</v>
      </c>
      <c r="E154" s="72"/>
      <c r="F154" s="5"/>
      <c r="G154" s="5"/>
      <c r="H154" s="5"/>
      <c r="I154" s="12"/>
      <c r="J154" s="11"/>
      <c r="K154" s="5"/>
      <c r="L154" s="5"/>
    </row>
    <row r="155" spans="1:12" ht="14.25" hidden="1" outlineLevel="1">
      <c r="A155" s="5"/>
      <c r="B155" s="5"/>
      <c r="C155" s="10"/>
      <c r="D155" s="5"/>
      <c r="E155" s="5"/>
      <c r="F155" s="5"/>
      <c r="G155" s="5"/>
      <c r="H155" s="5"/>
      <c r="I155" s="5"/>
      <c r="J155" s="11"/>
      <c r="K155" s="5"/>
      <c r="L155" s="5"/>
    </row>
    <row r="156" spans="1:12" ht="15" customHeight="1" collapsed="1">
      <c r="A156" s="5"/>
      <c r="B156" s="5"/>
      <c r="C156" s="355" t="s">
        <v>236</v>
      </c>
      <c r="D156" s="356"/>
      <c r="E156" s="356"/>
      <c r="F156" s="356"/>
      <c r="G156" s="356"/>
      <c r="H156" s="356"/>
      <c r="I156" s="356"/>
      <c r="J156" s="357"/>
      <c r="K156" s="5"/>
      <c r="L156" s="5"/>
    </row>
    <row r="157" spans="1:12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5" hidden="1" outlineLevel="1" thickBot="1">
      <c r="A158" s="5"/>
      <c r="B158" s="5"/>
      <c r="C158" s="7"/>
      <c r="D158" s="8"/>
      <c r="E158" s="8"/>
      <c r="F158" s="8"/>
      <c r="G158" s="8"/>
      <c r="H158" s="8"/>
      <c r="I158" s="8"/>
      <c r="J158" s="9"/>
      <c r="K158" s="5"/>
      <c r="L158" s="5"/>
    </row>
    <row r="159" spans="1:12" ht="15" hidden="1" outlineLevel="1" thickBot="1">
      <c r="A159" s="5"/>
      <c r="B159" s="5"/>
      <c r="C159" s="10"/>
      <c r="D159" s="109">
        <f>IF(INPUT!D193="yes",CTR!E164*CTR!E171,0)</f>
        <v>0</v>
      </c>
      <c r="E159" s="5" t="s">
        <v>244</v>
      </c>
      <c r="F159" s="5"/>
      <c r="G159" s="5"/>
      <c r="H159" s="5"/>
      <c r="I159" s="5"/>
      <c r="J159" s="11"/>
      <c r="K159" s="5"/>
      <c r="L159" s="5"/>
    </row>
    <row r="160" spans="1:12" ht="14.25" hidden="1" outlineLevel="1">
      <c r="A160" s="5"/>
      <c r="B160" s="5"/>
      <c r="C160" s="10"/>
      <c r="D160" s="5"/>
      <c r="E160" s="5"/>
      <c r="F160" s="5"/>
      <c r="G160" s="5"/>
      <c r="H160" s="5"/>
      <c r="I160" s="5"/>
      <c r="J160" s="11"/>
      <c r="K160" s="5"/>
      <c r="L160" s="5"/>
    </row>
    <row r="161" spans="1:12" ht="14.25" hidden="1" outlineLevel="1">
      <c r="A161" s="5"/>
      <c r="B161" s="5"/>
      <c r="C161" s="10"/>
      <c r="D161" s="5" t="s">
        <v>102</v>
      </c>
      <c r="E161" s="5"/>
      <c r="F161" s="5"/>
      <c r="G161" s="5"/>
      <c r="H161" s="5"/>
      <c r="I161" s="5"/>
      <c r="J161" s="11"/>
      <c r="K161" s="5"/>
      <c r="L161" s="5"/>
    </row>
    <row r="162" spans="1:12" ht="30.75" customHeight="1" hidden="1" outlineLevel="1">
      <c r="A162" s="5"/>
      <c r="B162" s="5"/>
      <c r="C162" s="10"/>
      <c r="D162" s="455" t="s">
        <v>280</v>
      </c>
      <c r="E162" s="456"/>
      <c r="F162" s="456"/>
      <c r="G162" s="456"/>
      <c r="H162" s="456"/>
      <c r="I162" s="457"/>
      <c r="J162" s="11"/>
      <c r="K162" s="5"/>
      <c r="L162" s="5"/>
    </row>
    <row r="163" spans="1:12" ht="14.25" hidden="1" outlineLevel="1">
      <c r="A163" s="5"/>
      <c r="B163" s="5"/>
      <c r="C163" s="10"/>
      <c r="D163" s="102" t="s">
        <v>106</v>
      </c>
      <c r="E163" s="5"/>
      <c r="F163" s="5"/>
      <c r="G163" s="5"/>
      <c r="H163" s="5"/>
      <c r="I163" s="11"/>
      <c r="J163" s="11"/>
      <c r="K163" s="5"/>
      <c r="L163" s="5"/>
    </row>
    <row r="164" spans="1:12" ht="14.25" hidden="1" outlineLevel="1">
      <c r="A164" s="5"/>
      <c r="B164" s="5"/>
      <c r="C164" s="10"/>
      <c r="D164" s="132" t="s">
        <v>110</v>
      </c>
      <c r="E164" s="165">
        <f>VLOOKUP(INPUT!C7,CTR!F166:G170,2,FALSE)</f>
        <v>0.1</v>
      </c>
      <c r="F164" s="5" t="s">
        <v>243</v>
      </c>
      <c r="G164" s="5"/>
      <c r="H164" s="5"/>
      <c r="I164" s="107"/>
      <c r="J164" s="11"/>
      <c r="K164" s="5"/>
      <c r="L164" s="5"/>
    </row>
    <row r="165" spans="1:12" ht="14.25" hidden="1" outlineLevel="1">
      <c r="A165" s="5"/>
      <c r="B165" s="5"/>
      <c r="C165" s="10"/>
      <c r="D165" s="135"/>
      <c r="E165" s="163"/>
      <c r="F165" s="164" t="s">
        <v>208</v>
      </c>
      <c r="G165" s="206" t="s">
        <v>281</v>
      </c>
      <c r="H165" s="5"/>
      <c r="I165" s="107"/>
      <c r="J165" s="11"/>
      <c r="K165" s="5"/>
      <c r="L165" s="5"/>
    </row>
    <row r="166" spans="1:12" ht="14.25" hidden="1" outlineLevel="1">
      <c r="A166" s="5"/>
      <c r="B166" s="5"/>
      <c r="C166" s="10"/>
      <c r="D166" s="135"/>
      <c r="E166" s="163"/>
      <c r="F166" s="164" t="s">
        <v>221</v>
      </c>
      <c r="G166" s="203">
        <v>0.15</v>
      </c>
      <c r="H166" s="5"/>
      <c r="I166" s="107"/>
      <c r="J166" s="11"/>
      <c r="K166" s="5"/>
      <c r="L166" s="5"/>
    </row>
    <row r="167" spans="1:12" ht="14.25" hidden="1" outlineLevel="1">
      <c r="A167" s="5"/>
      <c r="B167" s="5"/>
      <c r="C167" s="10"/>
      <c r="D167" s="135"/>
      <c r="E167" s="163"/>
      <c r="F167" s="160" t="s">
        <v>220</v>
      </c>
      <c r="G167" s="203">
        <v>0.15</v>
      </c>
      <c r="H167" s="5"/>
      <c r="I167" s="107"/>
      <c r="J167" s="11"/>
      <c r="K167" s="5"/>
      <c r="L167" s="5"/>
    </row>
    <row r="168" spans="1:12" ht="14.25" hidden="1" outlineLevel="1">
      <c r="A168" s="5"/>
      <c r="B168" s="5"/>
      <c r="C168" s="10"/>
      <c r="D168" s="135"/>
      <c r="E168" s="163"/>
      <c r="F168" s="160" t="s">
        <v>232</v>
      </c>
      <c r="G168" s="203">
        <v>0.15</v>
      </c>
      <c r="H168" s="5"/>
      <c r="I168" s="107"/>
      <c r="J168" s="11"/>
      <c r="K168" s="5"/>
      <c r="L168" s="5"/>
    </row>
    <row r="169" spans="1:12" ht="14.25" hidden="1" outlineLevel="1">
      <c r="A169" s="5"/>
      <c r="B169" s="5"/>
      <c r="C169" s="10"/>
      <c r="D169" s="135"/>
      <c r="E169" s="163"/>
      <c r="F169" s="160" t="s">
        <v>233</v>
      </c>
      <c r="G169" s="203">
        <v>0.1</v>
      </c>
      <c r="H169" s="5"/>
      <c r="I169" s="107"/>
      <c r="J169" s="11"/>
      <c r="K169" s="5"/>
      <c r="L169" s="5"/>
    </row>
    <row r="170" spans="1:12" ht="14.25" hidden="1" outlineLevel="1">
      <c r="A170" s="5"/>
      <c r="B170" s="5"/>
      <c r="C170" s="10"/>
      <c r="D170" s="135"/>
      <c r="E170" s="163"/>
      <c r="F170" s="160" t="s">
        <v>219</v>
      </c>
      <c r="G170" s="203">
        <v>0.05</v>
      </c>
      <c r="H170" s="5"/>
      <c r="I170" s="107"/>
      <c r="J170" s="11"/>
      <c r="K170" s="5"/>
      <c r="L170" s="5"/>
    </row>
    <row r="171" spans="1:12" ht="14.25" hidden="1" outlineLevel="1">
      <c r="A171" s="5"/>
      <c r="B171" s="5"/>
      <c r="C171" s="10"/>
      <c r="D171" s="133" t="s">
        <v>111</v>
      </c>
      <c r="E171" s="215">
        <f>MIN(MAX(INPUT!D194,0),1)</f>
        <v>0.5</v>
      </c>
      <c r="F171" s="5" t="s">
        <v>240</v>
      </c>
      <c r="G171" s="5"/>
      <c r="H171" s="5"/>
      <c r="I171" s="261" t="s">
        <v>348</v>
      </c>
      <c r="J171" s="11"/>
      <c r="K171" s="5"/>
      <c r="L171" s="5"/>
    </row>
    <row r="172" spans="1:12" ht="14.25" hidden="1" outlineLevel="1">
      <c r="A172" s="5"/>
      <c r="B172" s="5"/>
      <c r="C172" s="10"/>
      <c r="D172" s="104"/>
      <c r="E172" s="105"/>
      <c r="F172" s="68"/>
      <c r="G172" s="68"/>
      <c r="H172" s="68"/>
      <c r="I172" s="106"/>
      <c r="J172" s="11"/>
      <c r="K172" s="5"/>
      <c r="L172" s="5"/>
    </row>
    <row r="173" spans="1:12" ht="14.25" hidden="1" outlineLevel="1">
      <c r="A173" s="5"/>
      <c r="B173" s="5"/>
      <c r="C173" s="10"/>
      <c r="D173" s="262" t="s">
        <v>372</v>
      </c>
      <c r="E173" s="72"/>
      <c r="F173" s="5"/>
      <c r="G173" s="5"/>
      <c r="H173" s="5"/>
      <c r="I173" s="12"/>
      <c r="J173" s="11"/>
      <c r="K173" s="5"/>
      <c r="L173" s="5"/>
    </row>
    <row r="174" spans="1:12" ht="14.25" hidden="1" outlineLevel="1">
      <c r="A174" s="5"/>
      <c r="B174" s="5"/>
      <c r="C174" s="10"/>
      <c r="D174" s="5"/>
      <c r="E174" s="5"/>
      <c r="F174" s="5"/>
      <c r="G174" s="5"/>
      <c r="H174" s="5"/>
      <c r="I174" s="5"/>
      <c r="J174" s="11"/>
      <c r="K174" s="5"/>
      <c r="L174" s="5"/>
    </row>
    <row r="175" spans="1:12" ht="15" customHeight="1" collapsed="1">
      <c r="A175" s="5"/>
      <c r="B175" s="5"/>
      <c r="C175" s="355" t="s">
        <v>237</v>
      </c>
      <c r="D175" s="356"/>
      <c r="E175" s="356"/>
      <c r="F175" s="356"/>
      <c r="G175" s="356"/>
      <c r="H175" s="356"/>
      <c r="I175" s="356"/>
      <c r="J175" s="357"/>
      <c r="K175" s="5"/>
      <c r="L175" s="5"/>
    </row>
    <row r="176" spans="1:12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5" hidden="1" outlineLevel="1" thickBot="1">
      <c r="A177" s="5"/>
      <c r="B177" s="5"/>
      <c r="C177" s="7"/>
      <c r="D177" s="8"/>
      <c r="E177" s="8"/>
      <c r="F177" s="8"/>
      <c r="G177" s="8"/>
      <c r="H177" s="8"/>
      <c r="I177" s="8"/>
      <c r="J177" s="9"/>
      <c r="K177" s="5"/>
      <c r="L177" s="5"/>
    </row>
    <row r="178" spans="1:12" ht="15" hidden="1" outlineLevel="1" thickBot="1">
      <c r="A178" s="5"/>
      <c r="B178" s="5"/>
      <c r="C178" s="10"/>
      <c r="D178" s="109">
        <f>IF(INPUT!D199="yes",CTR!E183*CTR!E188,0)</f>
        <v>0</v>
      </c>
      <c r="E178" s="5" t="s">
        <v>287</v>
      </c>
      <c r="F178" s="5"/>
      <c r="G178" s="5"/>
      <c r="H178" s="5"/>
      <c r="I178" s="5"/>
      <c r="J178" s="11"/>
      <c r="K178" s="5"/>
      <c r="L178" s="5"/>
    </row>
    <row r="179" spans="1:12" ht="14.25" hidden="1" outlineLevel="1">
      <c r="A179" s="5"/>
      <c r="B179" s="5"/>
      <c r="C179" s="10"/>
      <c r="D179" s="5"/>
      <c r="E179" s="5"/>
      <c r="F179" s="5"/>
      <c r="G179" s="5"/>
      <c r="H179" s="5"/>
      <c r="I179" s="5"/>
      <c r="J179" s="11"/>
      <c r="K179" s="5"/>
      <c r="L179" s="5"/>
    </row>
    <row r="180" spans="1:12" ht="14.25" hidden="1" outlineLevel="1">
      <c r="A180" s="5"/>
      <c r="B180" s="5"/>
      <c r="C180" s="10"/>
      <c r="D180" s="5" t="s">
        <v>102</v>
      </c>
      <c r="E180" s="5"/>
      <c r="F180" s="5"/>
      <c r="G180" s="5"/>
      <c r="H180" s="5"/>
      <c r="I180" s="5"/>
      <c r="J180" s="11"/>
      <c r="K180" s="5"/>
      <c r="L180" s="5"/>
    </row>
    <row r="181" spans="1:12" ht="29.25" customHeight="1" hidden="1" outlineLevel="1">
      <c r="A181" s="5"/>
      <c r="B181" s="5"/>
      <c r="C181" s="10"/>
      <c r="D181" s="455" t="s">
        <v>289</v>
      </c>
      <c r="E181" s="456"/>
      <c r="F181" s="456"/>
      <c r="G181" s="456"/>
      <c r="H181" s="456"/>
      <c r="I181" s="457"/>
      <c r="J181" s="11"/>
      <c r="K181" s="5"/>
      <c r="L181" s="5"/>
    </row>
    <row r="182" spans="1:12" ht="14.25" hidden="1" outlineLevel="1">
      <c r="A182" s="5"/>
      <c r="B182" s="5"/>
      <c r="C182" s="10"/>
      <c r="D182" s="102" t="s">
        <v>106</v>
      </c>
      <c r="E182" s="5"/>
      <c r="F182" s="5"/>
      <c r="G182" s="5"/>
      <c r="H182" s="5"/>
      <c r="I182" s="11"/>
      <c r="J182" s="11"/>
      <c r="K182" s="5"/>
      <c r="L182" s="5"/>
    </row>
    <row r="183" spans="1:12" ht="14.25" hidden="1" outlineLevel="1">
      <c r="A183" s="5"/>
      <c r="B183" s="5"/>
      <c r="C183" s="10"/>
      <c r="D183" s="132" t="s">
        <v>110</v>
      </c>
      <c r="E183" s="165">
        <f>VLOOKUP(INPUT!D200,CTR!F185:G187,2,FALSE)</f>
        <v>0.1</v>
      </c>
      <c r="F183" s="5" t="s">
        <v>282</v>
      </c>
      <c r="G183" s="5"/>
      <c r="H183" s="5"/>
      <c r="I183" s="107"/>
      <c r="J183" s="11"/>
      <c r="K183" s="5"/>
      <c r="L183" s="5"/>
    </row>
    <row r="184" spans="1:12" ht="14.25" hidden="1" outlineLevel="1">
      <c r="A184" s="5"/>
      <c r="B184" s="5"/>
      <c r="C184" s="10"/>
      <c r="D184" s="135"/>
      <c r="E184" s="163"/>
      <c r="F184" s="164" t="s">
        <v>283</v>
      </c>
      <c r="G184" s="206" t="s">
        <v>284</v>
      </c>
      <c r="H184" s="5"/>
      <c r="I184" s="107"/>
      <c r="J184" s="11"/>
      <c r="K184" s="5"/>
      <c r="L184" s="5"/>
    </row>
    <row r="185" spans="1:12" ht="14.25" hidden="1" outlineLevel="1">
      <c r="A185" s="5"/>
      <c r="B185" s="5"/>
      <c r="C185" s="10"/>
      <c r="D185" s="135"/>
      <c r="E185" s="163"/>
      <c r="F185" s="164" t="s">
        <v>273</v>
      </c>
      <c r="G185" s="203">
        <v>0.1</v>
      </c>
      <c r="H185" s="5"/>
      <c r="I185" s="107"/>
      <c r="J185" s="11"/>
      <c r="K185" s="5"/>
      <c r="L185" s="5"/>
    </row>
    <row r="186" spans="1:12" ht="14.25" hidden="1" outlineLevel="1">
      <c r="A186" s="5"/>
      <c r="B186" s="5"/>
      <c r="C186" s="10"/>
      <c r="D186" s="135"/>
      <c r="E186" s="163"/>
      <c r="F186" s="160" t="s">
        <v>274</v>
      </c>
      <c r="G186" s="203">
        <v>0.16</v>
      </c>
      <c r="H186" s="5"/>
      <c r="I186" s="107"/>
      <c r="J186" s="11"/>
      <c r="K186" s="5"/>
      <c r="L186" s="5"/>
    </row>
    <row r="187" spans="1:12" ht="14.25" hidden="1" outlineLevel="1">
      <c r="A187" s="5"/>
      <c r="B187" s="5"/>
      <c r="C187" s="10"/>
      <c r="D187" s="135"/>
      <c r="E187" s="163"/>
      <c r="F187" s="160" t="s">
        <v>275</v>
      </c>
      <c r="G187" s="203">
        <v>0.35</v>
      </c>
      <c r="H187" s="5"/>
      <c r="I187" s="107"/>
      <c r="J187" s="11"/>
      <c r="K187" s="5"/>
      <c r="L187" s="5"/>
    </row>
    <row r="188" spans="1:12" ht="14.25" hidden="1" outlineLevel="1">
      <c r="A188" s="5"/>
      <c r="B188" s="5"/>
      <c r="C188" s="10"/>
      <c r="D188" s="133" t="s">
        <v>111</v>
      </c>
      <c r="E188" s="110">
        <f>Assumptions!D181</f>
        <v>0.44999999999999996</v>
      </c>
      <c r="F188" s="362" t="s">
        <v>290</v>
      </c>
      <c r="G188" s="362"/>
      <c r="H188" s="362"/>
      <c r="I188" s="261" t="s">
        <v>347</v>
      </c>
      <c r="J188" s="11"/>
      <c r="K188" s="5"/>
      <c r="L188" s="5"/>
    </row>
    <row r="189" spans="1:12" ht="14.25" hidden="1" outlineLevel="1">
      <c r="A189" s="5"/>
      <c r="B189" s="5"/>
      <c r="C189" s="10"/>
      <c r="D189" s="133"/>
      <c r="E189" s="163"/>
      <c r="F189" s="362"/>
      <c r="G189" s="362"/>
      <c r="H189" s="362"/>
      <c r="I189" s="107"/>
      <c r="J189" s="11"/>
      <c r="K189" s="5"/>
      <c r="L189" s="5"/>
    </row>
    <row r="190" spans="1:12" ht="14.25" hidden="1" outlineLevel="1">
      <c r="A190" s="5"/>
      <c r="B190" s="5"/>
      <c r="C190" s="10"/>
      <c r="D190" s="104"/>
      <c r="E190" s="105"/>
      <c r="F190" s="68"/>
      <c r="G190" s="68"/>
      <c r="H190" s="68"/>
      <c r="I190" s="106"/>
      <c r="J190" s="11"/>
      <c r="K190" s="5"/>
      <c r="L190" s="5"/>
    </row>
    <row r="191" spans="1:12" ht="14.25" hidden="1" outlineLevel="1">
      <c r="A191" s="5"/>
      <c r="B191" s="5"/>
      <c r="C191" s="10"/>
      <c r="D191" s="262" t="s">
        <v>373</v>
      </c>
      <c r="E191" s="72"/>
      <c r="F191" s="5"/>
      <c r="G191" s="5"/>
      <c r="H191" s="5"/>
      <c r="I191" s="12"/>
      <c r="J191" s="11"/>
      <c r="K191" s="5"/>
      <c r="L191" s="5"/>
    </row>
    <row r="192" spans="1:12" ht="14.25" hidden="1" outlineLevel="1">
      <c r="A192" s="5"/>
      <c r="B192" s="5"/>
      <c r="C192" s="10"/>
      <c r="D192" s="5"/>
      <c r="E192" s="5"/>
      <c r="F192" s="5"/>
      <c r="G192" s="5"/>
      <c r="H192" s="5"/>
      <c r="I192" s="5"/>
      <c r="J192" s="11"/>
      <c r="K192" s="5"/>
      <c r="L192" s="5"/>
    </row>
    <row r="193" spans="1:12" ht="15" customHeight="1" collapsed="1">
      <c r="A193" s="5"/>
      <c r="B193" s="5"/>
      <c r="C193" s="352" t="s">
        <v>89</v>
      </c>
      <c r="D193" s="353"/>
      <c r="E193" s="353"/>
      <c r="F193" s="353"/>
      <c r="G193" s="353"/>
      <c r="H193" s="353"/>
      <c r="I193" s="353"/>
      <c r="J193" s="354"/>
      <c r="K193" s="5"/>
      <c r="L193" s="5"/>
    </row>
    <row r="194" spans="1:12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5" hidden="1" outlineLevel="1" thickBot="1">
      <c r="A195" s="5"/>
      <c r="B195" s="5"/>
      <c r="C195" s="7"/>
      <c r="D195" s="8"/>
      <c r="E195" s="8"/>
      <c r="F195" s="8"/>
      <c r="G195" s="8"/>
      <c r="H195" s="8"/>
      <c r="I195" s="8"/>
      <c r="J195" s="9"/>
      <c r="K195" s="5"/>
      <c r="L195" s="5"/>
    </row>
    <row r="196" spans="1:12" ht="15" hidden="1" outlineLevel="1" thickBot="1">
      <c r="A196" s="5"/>
      <c r="B196" s="5"/>
      <c r="C196" s="10"/>
      <c r="D196" s="109">
        <f>IF(INPUT!D208="yes",CTR!E201*CTR!E202,0)</f>
        <v>0</v>
      </c>
      <c r="E196" s="5" t="s">
        <v>287</v>
      </c>
      <c r="F196" s="5"/>
      <c r="G196" s="5"/>
      <c r="H196" s="5"/>
      <c r="I196" s="5"/>
      <c r="J196" s="11"/>
      <c r="K196" s="5"/>
      <c r="L196" s="5"/>
    </row>
    <row r="197" spans="1:12" ht="14.25" hidden="1" outlineLevel="1">
      <c r="A197" s="5"/>
      <c r="B197" s="5"/>
      <c r="C197" s="10"/>
      <c r="D197" s="5"/>
      <c r="E197" s="5"/>
      <c r="F197" s="5"/>
      <c r="G197" s="5"/>
      <c r="H197" s="5"/>
      <c r="I197" s="5"/>
      <c r="J197" s="11"/>
      <c r="K197" s="5"/>
      <c r="L197" s="5"/>
    </row>
    <row r="198" spans="1:12" ht="14.25" hidden="1" outlineLevel="1">
      <c r="A198" s="5"/>
      <c r="B198" s="5"/>
      <c r="C198" s="10"/>
      <c r="D198" s="5" t="s">
        <v>102</v>
      </c>
      <c r="E198" s="5"/>
      <c r="F198" s="5"/>
      <c r="G198" s="5"/>
      <c r="H198" s="5"/>
      <c r="I198" s="5"/>
      <c r="J198" s="11"/>
      <c r="K198" s="5"/>
      <c r="L198" s="5"/>
    </row>
    <row r="199" spans="1:12" ht="29.25" customHeight="1" hidden="1" outlineLevel="1">
      <c r="A199" s="5"/>
      <c r="B199" s="5"/>
      <c r="C199" s="10"/>
      <c r="D199" s="455" t="s">
        <v>288</v>
      </c>
      <c r="E199" s="456"/>
      <c r="F199" s="456"/>
      <c r="G199" s="456"/>
      <c r="H199" s="456"/>
      <c r="I199" s="457"/>
      <c r="J199" s="11"/>
      <c r="K199" s="5"/>
      <c r="L199" s="5"/>
    </row>
    <row r="200" spans="1:12" ht="14.25" hidden="1" outlineLevel="1">
      <c r="A200" s="5"/>
      <c r="B200" s="5"/>
      <c r="C200" s="10"/>
      <c r="D200" s="102" t="s">
        <v>106</v>
      </c>
      <c r="E200" s="5"/>
      <c r="F200" s="5"/>
      <c r="G200" s="5"/>
      <c r="H200" s="5"/>
      <c r="I200" s="11"/>
      <c r="J200" s="11"/>
      <c r="K200" s="5"/>
      <c r="L200" s="5"/>
    </row>
    <row r="201" spans="1:12" ht="14.25" hidden="1" outlineLevel="1">
      <c r="A201" s="5"/>
      <c r="B201" s="5"/>
      <c r="C201" s="10"/>
      <c r="D201" s="132" t="s">
        <v>110</v>
      </c>
      <c r="E201" s="165">
        <f>MIN(MAX(INPUT!D209,0),1)</f>
        <v>0.5</v>
      </c>
      <c r="F201" s="5" t="s">
        <v>282</v>
      </c>
      <c r="G201" s="5"/>
      <c r="H201" s="5"/>
      <c r="I201" s="261" t="s">
        <v>348</v>
      </c>
      <c r="J201" s="11"/>
      <c r="K201" s="5"/>
      <c r="L201" s="5"/>
    </row>
    <row r="202" spans="1:12" ht="14.25" hidden="1" outlineLevel="1">
      <c r="A202" s="5"/>
      <c r="B202" s="5"/>
      <c r="C202" s="10"/>
      <c r="D202" s="133" t="s">
        <v>111</v>
      </c>
      <c r="E202" s="110">
        <f>Assumptions!D190</f>
        <v>0.75</v>
      </c>
      <c r="F202" s="362" t="s">
        <v>290</v>
      </c>
      <c r="G202" s="362"/>
      <c r="H202" s="362"/>
      <c r="I202" s="261" t="s">
        <v>347</v>
      </c>
      <c r="J202" s="11"/>
      <c r="K202" s="5"/>
      <c r="L202" s="5"/>
    </row>
    <row r="203" spans="1:12" ht="14.25" hidden="1" outlineLevel="1">
      <c r="A203" s="5"/>
      <c r="B203" s="5"/>
      <c r="C203" s="10"/>
      <c r="D203" s="133"/>
      <c r="E203" s="163"/>
      <c r="F203" s="362"/>
      <c r="G203" s="362"/>
      <c r="H203" s="362"/>
      <c r="I203" s="107"/>
      <c r="J203" s="11"/>
      <c r="K203" s="5"/>
      <c r="L203" s="5"/>
    </row>
    <row r="204" spans="1:12" ht="14.25" hidden="1" outlineLevel="1">
      <c r="A204" s="5"/>
      <c r="B204" s="5"/>
      <c r="C204" s="10"/>
      <c r="D204" s="104"/>
      <c r="E204" s="105"/>
      <c r="F204" s="68"/>
      <c r="G204" s="68"/>
      <c r="H204" s="68"/>
      <c r="I204" s="106"/>
      <c r="J204" s="11"/>
      <c r="K204" s="5"/>
      <c r="L204" s="5"/>
    </row>
    <row r="205" spans="1:12" ht="14.25" hidden="1" outlineLevel="1">
      <c r="A205" s="5"/>
      <c r="B205" s="5"/>
      <c r="C205" s="10"/>
      <c r="D205" s="262" t="s">
        <v>374</v>
      </c>
      <c r="E205" s="72"/>
      <c r="F205" s="5"/>
      <c r="G205" s="5"/>
      <c r="H205" s="5"/>
      <c r="I205" s="12"/>
      <c r="J205" s="11"/>
      <c r="K205" s="5"/>
      <c r="L205" s="5"/>
    </row>
    <row r="206" spans="1:12" ht="14.25" hidden="1" outlineLevel="1">
      <c r="A206" s="5"/>
      <c r="B206" s="5"/>
      <c r="C206" s="10"/>
      <c r="D206" s="5"/>
      <c r="E206" s="5"/>
      <c r="F206" s="5"/>
      <c r="G206" s="5"/>
      <c r="H206" s="5"/>
      <c r="I206" s="5"/>
      <c r="J206" s="11"/>
      <c r="K206" s="5"/>
      <c r="L206" s="5"/>
    </row>
    <row r="207" spans="1:12" ht="15" customHeight="1" collapsed="1">
      <c r="A207" s="5"/>
      <c r="B207" s="5"/>
      <c r="C207" s="352" t="s">
        <v>90</v>
      </c>
      <c r="D207" s="353"/>
      <c r="E207" s="353"/>
      <c r="F207" s="353"/>
      <c r="G207" s="353"/>
      <c r="H207" s="353"/>
      <c r="I207" s="353"/>
      <c r="J207" s="354"/>
      <c r="K207" s="5"/>
      <c r="L207" s="5"/>
    </row>
    <row r="208" spans="1:12" ht="14.25">
      <c r="A208" s="5"/>
      <c r="L208" s="5"/>
    </row>
    <row r="209" spans="1:12" ht="14.25">
      <c r="A209" s="5"/>
      <c r="L209" s="5"/>
    </row>
    <row r="210" ht="14.25">
      <c r="A210" s="5"/>
    </row>
  </sheetData>
  <sheetProtection password="85AF" sheet="1" objects="1" scenarios="1"/>
  <mergeCells count="33">
    <mergeCell ref="F145:H145"/>
    <mergeCell ref="F147:H147"/>
    <mergeCell ref="D162:I162"/>
    <mergeCell ref="D181:I181"/>
    <mergeCell ref="F188:H189"/>
    <mergeCell ref="C156:J156"/>
    <mergeCell ref="C175:J175"/>
    <mergeCell ref="D86:I86"/>
    <mergeCell ref="D142:I142"/>
    <mergeCell ref="F113:H113"/>
    <mergeCell ref="C136:J136"/>
    <mergeCell ref="F111:H111"/>
    <mergeCell ref="F91:I91"/>
    <mergeCell ref="C193:J193"/>
    <mergeCell ref="B4:K4"/>
    <mergeCell ref="C38:J38"/>
    <mergeCell ref="C61:J61"/>
    <mergeCell ref="C80:J80"/>
    <mergeCell ref="C102:J102"/>
    <mergeCell ref="D128:I128"/>
    <mergeCell ref="D108:I108"/>
    <mergeCell ref="D10:I11"/>
    <mergeCell ref="D67:I67"/>
    <mergeCell ref="C207:J207"/>
    <mergeCell ref="C19:J19"/>
    <mergeCell ref="D25:I25"/>
    <mergeCell ref="D44:I44"/>
    <mergeCell ref="F47:I47"/>
    <mergeCell ref="F49:I49"/>
    <mergeCell ref="C122:J122"/>
    <mergeCell ref="D199:I199"/>
    <mergeCell ref="F202:H203"/>
    <mergeCell ref="F89:I89"/>
  </mergeCells>
  <hyperlinks>
    <hyperlink ref="I14" location="INPUT!A1" display="see input tab"/>
    <hyperlink ref="I34" location="INPUT!A1" display="see input tab"/>
    <hyperlink ref="I56" location="INPUT!A1" display="see input tab"/>
    <hyperlink ref="I76" location="INPUT!A1" display="see input tab"/>
    <hyperlink ref="I98" location="INPUT!A1" display="see input tab"/>
    <hyperlink ref="I131" location="INPUT!A1" display="see input tab"/>
    <hyperlink ref="I151" location="INPUT!A1" display="see input tab"/>
    <hyperlink ref="I171" location="INPUT!A1" display="see input tab"/>
    <hyperlink ref="I201" location="INPUT!A1" display="see input tab"/>
    <hyperlink ref="I15" location="Assumptions!A1" display="see assumptions tab"/>
    <hyperlink ref="I57" location="Assumptions!A1" display="see assumptions tab"/>
    <hyperlink ref="I132" location="Assumptions!A1" display="see assumptions tab"/>
    <hyperlink ref="I152" location="Assumptions!A1" display="see assumptions tab"/>
    <hyperlink ref="I188" location="Assumptions!A1" display="see assumptions tab"/>
    <hyperlink ref="I202" location="Assumptions!A1" display="see assumptions tab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Fehr &amp; Peers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Tien-Tien Chan</dc:creator>
  <cp:keywords/>
  <dc:description/>
  <cp:lastModifiedBy>Ian Peterson</cp:lastModifiedBy>
  <dcterms:created xsi:type="dcterms:W3CDTF">2010-08-05T23:32:06Z</dcterms:created>
  <dcterms:modified xsi:type="dcterms:W3CDTF">2011-08-19T19:04:33Z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